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5" windowWidth="15135" windowHeight="9810" activeTab="0"/>
  </bookViews>
  <sheets>
    <sheet name="Product" sheetId="1" r:id="rId1"/>
    <sheet name="Part 1" sheetId="2" r:id="rId2"/>
    <sheet name="Part 2" sheetId="3" r:id="rId3"/>
    <sheet name="Part 3" sheetId="4" r:id="rId4"/>
    <sheet name="Part 4" sheetId="5" r:id="rId5"/>
    <sheet name="Part 5" sheetId="6" r:id="rId6"/>
    <sheet name="Part 6" sheetId="7" r:id="rId7"/>
    <sheet name="Part 7" sheetId="8" r:id="rId8"/>
    <sheet name="Part 8" sheetId="9" r:id="rId9"/>
    <sheet name="Part 9" sheetId="10" r:id="rId10"/>
  </sheets>
  <definedNames>
    <definedName name="_xlnm.Print_Area" localSheetId="1">'Part 1'!$A$1:$M$62</definedName>
    <definedName name="_xlnm.Print_Area" localSheetId="2">'Part 2'!$A$1:$M$62</definedName>
    <definedName name="_xlnm.Print_Area" localSheetId="3">'Part 3'!$A$1:$M$62</definedName>
    <definedName name="_xlnm.Print_Area" localSheetId="4">'Part 4'!$A$1:$M$62</definedName>
    <definedName name="_xlnm.Print_Area" localSheetId="5">'Part 5'!$A$1:$M$62</definedName>
    <definedName name="_xlnm.Print_Area" localSheetId="6">'Part 6'!$A$1:$M$62</definedName>
    <definedName name="_xlnm.Print_Area" localSheetId="7">'Part 7'!$A$1:$M$62</definedName>
    <definedName name="_xlnm.Print_Area" localSheetId="8">'Part 8'!$A$1:$M$62</definedName>
    <definedName name="_xlnm.Print_Area" localSheetId="0">'Product'!$A$1:$N$108</definedName>
  </definedNames>
  <calcPr fullCalcOnLoad="1"/>
</workbook>
</file>

<file path=xl/comments1.xml><?xml version="1.0" encoding="utf-8"?>
<comments xmlns="http://schemas.openxmlformats.org/spreadsheetml/2006/main">
  <authors>
    <author>JukkaKet</author>
    <author> </author>
  </authors>
  <commentList>
    <comment ref="F14" authorId="0">
      <text>
        <r>
          <rPr>
            <sz val="8"/>
            <rFont val="Tahoma"/>
            <family val="2"/>
          </rPr>
          <t>Oston antama alin turvallinen ostohinta aineen bruttotarpeelle, hukkineen</t>
        </r>
      </text>
    </comment>
    <comment ref="H14" authorId="0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J14" authorId="0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K27" authorId="0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L14" authorId="0">
      <text>
        <r>
          <rPr>
            <sz val="8"/>
            <rFont val="Tahoma"/>
            <family val="2"/>
          </rPr>
          <t>Katteellinen myyntihinta kustakin kokonaisuudesta.</t>
        </r>
      </text>
    </comment>
    <comment ref="F30" authorId="0">
      <text>
        <r>
          <rPr>
            <sz val="8"/>
            <rFont val="Tahoma"/>
            <family val="2"/>
          </rPr>
          <t>Oston antama alin turvallinen ostohinta aineen bruttotarpeelle, hukkineen</t>
        </r>
      </text>
    </comment>
    <comment ref="J30" authorId="0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K51" authorId="0">
      <text>
        <r>
          <rPr>
            <sz val="8"/>
            <rFont val="Tahoma"/>
            <family val="2"/>
          </rPr>
          <t>Haluttu kate omakustannushinnan päälle,
alihankinnassa 10%-30%</t>
        </r>
      </text>
    </comment>
    <comment ref="L30" authorId="0">
      <text>
        <r>
          <rPr>
            <sz val="8"/>
            <rFont val="Tahoma"/>
            <family val="2"/>
          </rPr>
          <t>Katteellinen myyntihinta kustakin kokonaisuudesta.</t>
        </r>
      </text>
    </comment>
    <comment ref="F54" authorId="0">
      <text>
        <r>
          <rPr>
            <sz val="8"/>
            <rFont val="Tahoma"/>
            <family val="2"/>
          </rPr>
          <t>Tuotannon katteeton omakustannushinta sisältäen koneet, kulut ja palkat (myös työnjohto)</t>
        </r>
      </text>
    </comment>
    <comment ref="J54" authorId="0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54" authorId="0">
      <text>
        <r>
          <rPr>
            <sz val="8"/>
            <rFont val="Tahoma"/>
            <family val="2"/>
          </rPr>
          <t>Katteellinen myyntihinta kustakin kokonaisuudesta.</t>
        </r>
      </text>
    </comment>
    <comment ref="B79" authorId="0">
      <text>
        <r>
          <rPr>
            <sz val="8"/>
            <rFont val="Tahoma"/>
            <family val="2"/>
          </rPr>
          <t xml:space="preserve">Toimituseräkustannukset: Käsittely, pakkaaminen, laskutus
</t>
        </r>
      </text>
    </comment>
    <comment ref="F79" authorId="0">
      <text>
        <r>
          <rPr>
            <sz val="8"/>
            <rFont val="Tahoma"/>
            <family val="2"/>
          </rPr>
          <t>Alin turvallinen hinta</t>
        </r>
      </text>
    </comment>
    <comment ref="J79" authorId="0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79" authorId="0">
      <text>
        <r>
          <rPr>
            <sz val="8"/>
            <rFont val="Tahoma"/>
            <family val="2"/>
          </rPr>
          <t>Katteellinen myyntihinta kustakin kokonaisuudesta.</t>
        </r>
      </text>
    </comment>
    <comment ref="J9" authorId="0">
      <text>
        <r>
          <rPr>
            <sz val="8"/>
            <rFont val="Tahoma"/>
            <family val="2"/>
          </rPr>
          <t>Kokonaisomakustannushinta ilman katteita.</t>
        </r>
      </text>
    </comment>
    <comment ref="L9" authorId="0">
      <text>
        <r>
          <rPr>
            <sz val="8"/>
            <rFont val="Tahoma"/>
            <family val="2"/>
          </rPr>
          <t>Laskennallinen katteellinen myyntihinta.</t>
        </r>
      </text>
    </comment>
    <comment ref="K76" authorId="0">
      <text>
        <r>
          <rPr>
            <sz val="8"/>
            <rFont val="Tahoma"/>
            <family val="2"/>
          </rPr>
          <t>Haluttu kate omakustannushinnan päälle,
alihankinnassa 10%-30%</t>
        </r>
      </text>
    </comment>
    <comment ref="K84" authorId="0">
      <text>
        <r>
          <rPr>
            <sz val="8"/>
            <rFont val="Tahoma"/>
            <family val="2"/>
          </rPr>
          <t>Haluttu kate omakustannushinnan päälle,
alihankinnassa 10%-30%</t>
        </r>
      </text>
    </comment>
    <comment ref="B87" authorId="0">
      <text>
        <r>
          <rPr>
            <sz val="8"/>
            <rFont val="Tahoma"/>
            <family val="2"/>
          </rPr>
          <t>Peruskustannukset, jyvitetään projektin tai vuosimenekin kpl-hintaan.</t>
        </r>
      </text>
    </comment>
    <comment ref="F87" authorId="0">
      <text>
        <r>
          <rPr>
            <sz val="8"/>
            <rFont val="Tahoma"/>
            <family val="2"/>
          </rPr>
          <t>Alin turvallinen hinta</t>
        </r>
      </text>
    </comment>
    <comment ref="J87" authorId="0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87" authorId="0">
      <text>
        <r>
          <rPr>
            <sz val="8"/>
            <rFont val="Tahoma"/>
            <family val="2"/>
          </rPr>
          <t>Katteellinen myyntihinta kustakin kokonaisuudesta.</t>
        </r>
      </text>
    </comment>
    <comment ref="K103" authorId="0">
      <text>
        <r>
          <rPr>
            <sz val="8"/>
            <rFont val="Tahoma"/>
            <family val="2"/>
          </rPr>
          <t>Haluttu kate omakustannushinnan päälle,
alihankinnassa 10%-30%</t>
        </r>
      </text>
    </comment>
    <comment ref="I7" authorId="1">
      <text>
        <r>
          <rPr>
            <b/>
            <sz val="8"/>
            <rFont val="Tahoma"/>
            <family val="2"/>
          </rPr>
          <t xml:space="preserve"> Vuosimenekki tai projektin menekki </t>
        </r>
      </text>
    </comment>
    <comment ref="B99" authorId="1">
      <text>
        <r>
          <rPr>
            <b/>
            <sz val="8"/>
            <rFont val="Tahoma"/>
            <family val="2"/>
          </rPr>
          <t>Työkalut tarjotaan erikseen. 
Tässä voidaan työkalukustannus jyvittää projektin tai vuosimenekin kpl-hintaan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sz val="8"/>
            <rFont val="Tahoma"/>
            <family val="2"/>
          </rPr>
          <t>Laskettu kate omakustannushinnan päälle</t>
        </r>
      </text>
    </comment>
    <comment ref="K9" authorId="0">
      <text>
        <r>
          <rPr>
            <sz val="8"/>
            <rFont val="Tahoma"/>
            <family val="2"/>
          </rPr>
          <t>Laskettu kate omakustannushinnan päälle</t>
        </r>
      </text>
    </comment>
    <comment ref="K54" authorId="0">
      <text>
        <r>
          <rPr>
            <sz val="8"/>
            <rFont val="Tahoma"/>
            <family val="2"/>
          </rPr>
          <t>Haluttu kate omakustannushinnan päälle,
työlle 50%</t>
        </r>
      </text>
    </comment>
    <comment ref="K79" authorId="0">
      <text>
        <r>
          <rPr>
            <sz val="8"/>
            <rFont val="Tahoma"/>
            <family val="2"/>
          </rPr>
          <t>Haluttu kate omakustannushinnan päälle,
työlle 50%</t>
        </r>
      </text>
    </comment>
    <comment ref="K87" authorId="0">
      <text>
        <r>
          <rPr>
            <sz val="8"/>
            <rFont val="Tahoma"/>
            <family val="2"/>
          </rPr>
          <t>Haluttu kate omakustannushinnan päälle,
työlle 50%</t>
        </r>
      </text>
    </comment>
    <comment ref="H30" authorId="0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54" authorId="0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79" authorId="0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87" authorId="0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</commentList>
</comments>
</file>

<file path=xl/comments10.xml><?xml version="1.0" encoding="utf-8"?>
<comments xmlns="http://schemas.openxmlformats.org/spreadsheetml/2006/main">
  <authors>
    <author> </author>
    <author>JukkaKet</author>
  </authors>
  <commentList>
    <comment ref="F4" authorId="0">
      <text>
        <r>
          <rPr>
            <sz val="8"/>
            <rFont val="Tahoma"/>
            <family val="2"/>
          </rPr>
          <t>Tämä kuvaava nimi siirtyy myyntituotteen laskelmaan.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 Vuosimenekki tai projektin menekki </t>
        </r>
      </text>
    </comment>
    <comment ref="J11" authorId="1">
      <text>
        <r>
          <rPr>
            <sz val="8"/>
            <rFont val="Tahoma"/>
            <family val="2"/>
          </rPr>
          <t>Kokonaisomakustannushinta ilman katteita.</t>
        </r>
      </text>
    </comment>
    <comment ref="K11" authorId="1">
      <text>
        <r>
          <rPr>
            <sz val="8"/>
            <rFont val="Tahoma"/>
            <family val="2"/>
          </rPr>
          <t>Laskettu kate omakustannushinnan päälle</t>
        </r>
      </text>
    </comment>
    <comment ref="L11" authorId="1">
      <text>
        <r>
          <rPr>
            <sz val="8"/>
            <rFont val="Tahoma"/>
            <family val="2"/>
          </rPr>
          <t>Laskennallinen katteellinen myyntihinta.</t>
        </r>
      </text>
    </comment>
    <comment ref="F16" authorId="1">
      <text>
        <r>
          <rPr>
            <sz val="8"/>
            <rFont val="Tahoma"/>
            <family val="2"/>
          </rPr>
          <t>Oston antama alin turvallinen ostohinta aineen bruttotarpeelle, hukkineen</t>
        </r>
      </text>
    </comment>
    <comment ref="H16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J16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16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F23" authorId="1">
      <text>
        <r>
          <rPr>
            <sz val="8"/>
            <rFont val="Tahoma"/>
            <family val="2"/>
          </rPr>
          <t>Oston antama alin turvallinen ostohinta aineen bruttotarpeelle, hukkineen</t>
        </r>
      </text>
    </comment>
    <comment ref="J23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23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F30" authorId="1">
      <text>
        <r>
          <rPr>
            <sz val="8"/>
            <rFont val="Tahoma"/>
            <family val="2"/>
          </rPr>
          <t>Tuotannon katteeton omakustannushinta sisältäen koneet, kulut ja palkat (myös työnjohto)</t>
        </r>
      </text>
    </comment>
    <comment ref="J30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30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B47" authorId="1">
      <text>
        <r>
          <rPr>
            <sz val="8"/>
            <rFont val="Tahoma"/>
            <family val="2"/>
          </rPr>
          <t xml:space="preserve">Toimituseräkustannukset: Käsittely, pakkaaminen, laskutus
</t>
        </r>
      </text>
    </comment>
    <comment ref="F47" authorId="1">
      <text>
        <r>
          <rPr>
            <sz val="8"/>
            <rFont val="Tahoma"/>
            <family val="2"/>
          </rPr>
          <t>Alin turvallinen hinta</t>
        </r>
      </text>
    </comment>
    <comment ref="H47" authorId="1">
      <text>
        <r>
          <rPr>
            <sz val="8"/>
            <rFont val="Tahoma"/>
            <family val="2"/>
          </rPr>
          <t>Kerroin voi sisältää riskivaran 1.00-1.20</t>
        </r>
      </text>
    </comment>
    <comment ref="J47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K47" authorId="1">
      <text>
        <r>
          <rPr>
            <sz val="8"/>
            <rFont val="Tahoma"/>
            <family val="2"/>
          </rPr>
          <t>Haluttu kate omakustannushinnan päälle, työkaluille 20%-50%</t>
        </r>
      </text>
    </comment>
    <comment ref="L47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K52" authorId="1">
      <text>
        <r>
          <rPr>
            <sz val="8"/>
            <rFont val="Tahoma"/>
            <family val="2"/>
          </rPr>
          <t>Haluttu kate omakustannushinnan päälle,
alihankinnassa 10%-30%</t>
        </r>
      </text>
    </comment>
    <comment ref="B55" authorId="1">
      <text>
        <r>
          <rPr>
            <sz val="8"/>
            <rFont val="Tahoma"/>
            <family val="2"/>
          </rPr>
          <t>Peruskustannukset, jyvitetään projektin tai vuosimenekin kpl-hintaan.</t>
        </r>
      </text>
    </comment>
    <comment ref="F55" authorId="1">
      <text>
        <r>
          <rPr>
            <sz val="8"/>
            <rFont val="Tahoma"/>
            <family val="2"/>
          </rPr>
          <t>Alin turvallinen hinta</t>
        </r>
      </text>
    </comment>
    <comment ref="J55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55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K30" authorId="1">
      <text>
        <r>
          <rPr>
            <sz val="8"/>
            <rFont val="Tahoma"/>
            <family val="2"/>
          </rPr>
          <t>Haluttu kate omakustannushinnan päälle,
työlle 50%</t>
        </r>
      </text>
    </comment>
    <comment ref="K55" authorId="1">
      <text>
        <r>
          <rPr>
            <sz val="8"/>
            <rFont val="Tahoma"/>
            <family val="2"/>
          </rPr>
          <t>Haluttu kate omakustannushinnan päälle,
työlle 50%</t>
        </r>
      </text>
    </comment>
    <comment ref="H23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30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55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K60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44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27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20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</commentList>
</comments>
</file>

<file path=xl/comments2.xml><?xml version="1.0" encoding="utf-8"?>
<comments xmlns="http://schemas.openxmlformats.org/spreadsheetml/2006/main">
  <authors>
    <author>JukkaKet</author>
    <author> </author>
  </authors>
  <commentList>
    <comment ref="F16" authorId="0">
      <text>
        <r>
          <rPr>
            <sz val="8"/>
            <rFont val="Tahoma"/>
            <family val="2"/>
          </rPr>
          <t>Oston antama alin turvallinen ostohinta aineen bruttotarpeelle, hukkineen</t>
        </r>
      </text>
    </comment>
    <comment ref="J16" authorId="0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16" authorId="0">
      <text>
        <r>
          <rPr>
            <sz val="8"/>
            <rFont val="Tahoma"/>
            <family val="2"/>
          </rPr>
          <t>Katteellinen myyntihinta kustakin kokonaisuudesta.</t>
        </r>
      </text>
    </comment>
    <comment ref="F23" authorId="0">
      <text>
        <r>
          <rPr>
            <sz val="8"/>
            <rFont val="Tahoma"/>
            <family val="2"/>
          </rPr>
          <t>Oston antama alin turvallinen ostohinta aineen bruttotarpeelle, hukkineen</t>
        </r>
      </text>
    </comment>
    <comment ref="J23" authorId="0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23" authorId="0">
      <text>
        <r>
          <rPr>
            <sz val="8"/>
            <rFont val="Tahoma"/>
            <family val="2"/>
          </rPr>
          <t>Katteellinen myyntihinta kustakin kokonaisuudesta.</t>
        </r>
      </text>
    </comment>
    <comment ref="F30" authorId="0">
      <text>
        <r>
          <rPr>
            <sz val="8"/>
            <rFont val="Tahoma"/>
            <family val="2"/>
          </rPr>
          <t>Tuotannon katteeton omakustannushinta sisältäen koneet, kulut ja palkat (myös työnjohto)</t>
        </r>
      </text>
    </comment>
    <comment ref="J30" authorId="0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30" authorId="0">
      <text>
        <r>
          <rPr>
            <sz val="8"/>
            <rFont val="Tahoma"/>
            <family val="2"/>
          </rPr>
          <t>Katteellinen myyntihinta kustakin kokonaisuudesta.</t>
        </r>
      </text>
    </comment>
    <comment ref="B47" authorId="0">
      <text>
        <r>
          <rPr>
            <sz val="8"/>
            <rFont val="Tahoma"/>
            <family val="2"/>
          </rPr>
          <t xml:space="preserve">Toimituseräkustannukset: Käsittely, pakkaaminen, laskutus
</t>
        </r>
      </text>
    </comment>
    <comment ref="F47" authorId="0">
      <text>
        <r>
          <rPr>
            <sz val="8"/>
            <rFont val="Tahoma"/>
            <family val="2"/>
          </rPr>
          <t>Alin turvallinen hinta</t>
        </r>
      </text>
    </comment>
    <comment ref="H47" authorId="0">
      <text>
        <r>
          <rPr>
            <sz val="8"/>
            <rFont val="Tahoma"/>
            <family val="2"/>
          </rPr>
          <t>Kerroin voi sisältää riskivaran 1.00-1.20</t>
        </r>
      </text>
    </comment>
    <comment ref="J47" authorId="0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K47" authorId="0">
      <text>
        <r>
          <rPr>
            <sz val="8"/>
            <rFont val="Tahoma"/>
            <family val="2"/>
          </rPr>
          <t>Haluttu kate omakustannushinnan päälle, työkaluille 20%-50%</t>
        </r>
      </text>
    </comment>
    <comment ref="L47" authorId="0">
      <text>
        <r>
          <rPr>
            <sz val="8"/>
            <rFont val="Tahoma"/>
            <family val="2"/>
          </rPr>
          <t>Katteellinen myyntihinta kustakin kokonaisuudesta.</t>
        </r>
      </text>
    </comment>
    <comment ref="K52" authorId="0">
      <text>
        <r>
          <rPr>
            <sz val="8"/>
            <rFont val="Tahoma"/>
            <family val="2"/>
          </rPr>
          <t>Haluttu kate omakustannushinnan päälle,
alihankinnassa 10%-30%</t>
        </r>
      </text>
    </comment>
    <comment ref="F55" authorId="0">
      <text>
        <r>
          <rPr>
            <sz val="8"/>
            <rFont val="Tahoma"/>
            <family val="2"/>
          </rPr>
          <t>Alin turvallinen hinta</t>
        </r>
      </text>
    </comment>
    <comment ref="J55" authorId="0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55" authorId="0">
      <text>
        <r>
          <rPr>
            <sz val="8"/>
            <rFont val="Tahoma"/>
            <family val="2"/>
          </rPr>
          <t>Katteellinen myyntihinta kustakin kokonaisuudesta.</t>
        </r>
      </text>
    </comment>
    <comment ref="J11" authorId="0">
      <text>
        <r>
          <rPr>
            <sz val="8"/>
            <rFont val="Tahoma"/>
            <family val="2"/>
          </rPr>
          <t>Kokonaisomakustannushinta ilman katteita.</t>
        </r>
      </text>
    </comment>
    <comment ref="L11" authorId="0">
      <text>
        <r>
          <rPr>
            <sz val="8"/>
            <rFont val="Tahoma"/>
            <family val="2"/>
          </rPr>
          <t>Laskennallinen katteellinen myyntihinta.</t>
        </r>
      </text>
    </comment>
    <comment ref="F4" authorId="1">
      <text>
        <r>
          <rPr>
            <sz val="8"/>
            <rFont val="Tahoma"/>
            <family val="2"/>
          </rPr>
          <t>Tämä kuvaava nimi siirtyy myyntituotteen laskelmaan.</t>
        </r>
      </text>
    </comment>
    <comment ref="I7" authorId="1">
      <text>
        <r>
          <rPr>
            <b/>
            <sz val="8"/>
            <rFont val="Tahoma"/>
            <family val="2"/>
          </rPr>
          <t xml:space="preserve"> Vuosimenekki tai projektin menekki </t>
        </r>
      </text>
    </comment>
    <comment ref="B55" authorId="0">
      <text>
        <r>
          <rPr>
            <sz val="8"/>
            <rFont val="Tahoma"/>
            <family val="2"/>
          </rPr>
          <t>Peruskustannukset, jyvitetään projektin tai vuosimenekin kpl-hintaan.</t>
        </r>
      </text>
    </comment>
    <comment ref="K11" authorId="0">
      <text>
        <r>
          <rPr>
            <sz val="8"/>
            <rFont val="Tahoma"/>
            <family val="2"/>
          </rPr>
          <t>Laskettu kate omakustannushinnan päälle</t>
        </r>
      </text>
    </comment>
    <comment ref="K30" authorId="0">
      <text>
        <r>
          <rPr>
            <sz val="8"/>
            <rFont val="Tahoma"/>
            <family val="2"/>
          </rPr>
          <t>Haluttu kate omakustannushinnan päälle,
työlle 50%</t>
        </r>
      </text>
    </comment>
    <comment ref="K55" authorId="0">
      <text>
        <r>
          <rPr>
            <sz val="8"/>
            <rFont val="Tahoma"/>
            <family val="2"/>
          </rPr>
          <t>Haluttu kate omakustannushinnan päälle,
työlle 50%</t>
        </r>
      </text>
    </comment>
    <comment ref="H55" authorId="0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30" authorId="0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23" authorId="0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16" authorId="0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K44" authorId="0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60" authorId="0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27" authorId="0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20" authorId="0">
      <text>
        <r>
          <rPr>
            <sz val="8"/>
            <rFont val="Tahoma"/>
            <family val="2"/>
          </rPr>
          <t>Haluttu kate omakustannushinnan päälle,
raaka-aineissa 10%-30%</t>
        </r>
      </text>
    </comment>
  </commentList>
</comments>
</file>

<file path=xl/comments3.xml><?xml version="1.0" encoding="utf-8"?>
<comments xmlns="http://schemas.openxmlformats.org/spreadsheetml/2006/main">
  <authors>
    <author> </author>
    <author>JukkaKet</author>
  </authors>
  <commentList>
    <comment ref="F4" authorId="0">
      <text>
        <r>
          <rPr>
            <sz val="8"/>
            <rFont val="Tahoma"/>
            <family val="2"/>
          </rPr>
          <t>Tämä kuvaava nimi siirtyy myyntituotteen laskelmaan.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 Vuosimenekki tai projektin menekki </t>
        </r>
      </text>
    </comment>
    <comment ref="J11" authorId="1">
      <text>
        <r>
          <rPr>
            <sz val="8"/>
            <rFont val="Tahoma"/>
            <family val="2"/>
          </rPr>
          <t>Kokonaisomakustannushinta ilman katteita.</t>
        </r>
      </text>
    </comment>
    <comment ref="L11" authorId="1">
      <text>
        <r>
          <rPr>
            <sz val="8"/>
            <rFont val="Tahoma"/>
            <family val="2"/>
          </rPr>
          <t>Laskennallinen katteellinen myyntihinta.</t>
        </r>
      </text>
    </comment>
    <comment ref="F16" authorId="1">
      <text>
        <r>
          <rPr>
            <sz val="8"/>
            <rFont val="Tahoma"/>
            <family val="2"/>
          </rPr>
          <t>Oston antama alin turvallinen ostohinta aineen bruttotarpeelle, hukkineen</t>
        </r>
      </text>
    </comment>
    <comment ref="J16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16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F23" authorId="1">
      <text>
        <r>
          <rPr>
            <sz val="8"/>
            <rFont val="Tahoma"/>
            <family val="2"/>
          </rPr>
          <t>Oston antama alin turvallinen ostohinta aineen bruttotarpeelle, hukkineen</t>
        </r>
      </text>
    </comment>
    <comment ref="J23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23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F30" authorId="1">
      <text>
        <r>
          <rPr>
            <sz val="8"/>
            <rFont val="Tahoma"/>
            <family val="2"/>
          </rPr>
          <t>Tuotannon katteeton omakustannushinta sisältäen koneet, kulut ja palkat (myös työnjohto)</t>
        </r>
      </text>
    </comment>
    <comment ref="J30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30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B47" authorId="1">
      <text>
        <r>
          <rPr>
            <sz val="8"/>
            <rFont val="Tahoma"/>
            <family val="2"/>
          </rPr>
          <t xml:space="preserve">Toimituseräkustannukset: Käsittely, pakkaaminen, laskutus
</t>
        </r>
      </text>
    </comment>
    <comment ref="F47" authorId="1">
      <text>
        <r>
          <rPr>
            <sz val="8"/>
            <rFont val="Tahoma"/>
            <family val="2"/>
          </rPr>
          <t>Alin turvallinen hinta</t>
        </r>
      </text>
    </comment>
    <comment ref="H47" authorId="1">
      <text>
        <r>
          <rPr>
            <sz val="8"/>
            <rFont val="Tahoma"/>
            <family val="2"/>
          </rPr>
          <t>Kerroin voi sisältää riskivaran 1.00-1.20</t>
        </r>
      </text>
    </comment>
    <comment ref="J47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K47" authorId="1">
      <text>
        <r>
          <rPr>
            <sz val="8"/>
            <rFont val="Tahoma"/>
            <family val="2"/>
          </rPr>
          <t>Haluttu kate omakustannushinnan päälle, työkaluille 20%-50%</t>
        </r>
      </text>
    </comment>
    <comment ref="L47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K52" authorId="1">
      <text>
        <r>
          <rPr>
            <sz val="8"/>
            <rFont val="Tahoma"/>
            <family val="2"/>
          </rPr>
          <t>Haluttu kate omakustannushinnan päälle,
alihankinnassa 10%-30%</t>
        </r>
      </text>
    </comment>
    <comment ref="B55" authorId="1">
      <text>
        <r>
          <rPr>
            <sz val="8"/>
            <rFont val="Tahoma"/>
            <family val="2"/>
          </rPr>
          <t>Peruskustannukset, jyvitetään projektin tai vuosimenekin kpl-hintaan.</t>
        </r>
      </text>
    </comment>
    <comment ref="F55" authorId="1">
      <text>
        <r>
          <rPr>
            <sz val="8"/>
            <rFont val="Tahoma"/>
            <family val="2"/>
          </rPr>
          <t>Alin turvallinen hinta</t>
        </r>
      </text>
    </comment>
    <comment ref="J55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55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K11" authorId="1">
      <text>
        <r>
          <rPr>
            <sz val="8"/>
            <rFont val="Tahoma"/>
            <family val="2"/>
          </rPr>
          <t>Laskettu kate omakustannushinnan päälle</t>
        </r>
      </text>
    </comment>
    <comment ref="K30" authorId="1">
      <text>
        <r>
          <rPr>
            <sz val="8"/>
            <rFont val="Tahoma"/>
            <family val="2"/>
          </rPr>
          <t>Haluttu kate omakustannushinnan päälle,
työlle 50%</t>
        </r>
      </text>
    </comment>
    <comment ref="K55" authorId="1">
      <text>
        <r>
          <rPr>
            <sz val="8"/>
            <rFont val="Tahoma"/>
            <family val="2"/>
          </rPr>
          <t>Haluttu kate omakustannushinnan päälle,
työlle 50%</t>
        </r>
      </text>
    </comment>
    <comment ref="H55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30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23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16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K60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44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27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20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</commentList>
</comments>
</file>

<file path=xl/comments4.xml><?xml version="1.0" encoding="utf-8"?>
<comments xmlns="http://schemas.openxmlformats.org/spreadsheetml/2006/main">
  <authors>
    <author> </author>
    <author>JukkaKet</author>
  </authors>
  <commentList>
    <comment ref="F4" authorId="0">
      <text>
        <r>
          <rPr>
            <sz val="8"/>
            <rFont val="Tahoma"/>
            <family val="2"/>
          </rPr>
          <t>Tämä kuvaava nimi siirtyy myyntituotteen laskelmaan.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 Vuosimenekki tai projektin menekki </t>
        </r>
      </text>
    </comment>
    <comment ref="J11" authorId="1">
      <text>
        <r>
          <rPr>
            <sz val="8"/>
            <rFont val="Tahoma"/>
            <family val="2"/>
          </rPr>
          <t>Kokonaisomakustannushinta ilman katteita.</t>
        </r>
      </text>
    </comment>
    <comment ref="L11" authorId="1">
      <text>
        <r>
          <rPr>
            <sz val="8"/>
            <rFont val="Tahoma"/>
            <family val="2"/>
          </rPr>
          <t>Laskennallinen katteellinen myyntihinta.</t>
        </r>
      </text>
    </comment>
    <comment ref="F16" authorId="1">
      <text>
        <r>
          <rPr>
            <sz val="8"/>
            <rFont val="Tahoma"/>
            <family val="2"/>
          </rPr>
          <t>Oston antama alin turvallinen ostohinta aineen bruttotarpeelle, hukkineen</t>
        </r>
      </text>
    </comment>
    <comment ref="J16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16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F23" authorId="1">
      <text>
        <r>
          <rPr>
            <sz val="8"/>
            <rFont val="Tahoma"/>
            <family val="2"/>
          </rPr>
          <t>Oston antama alin turvallinen ostohinta aineen bruttotarpeelle, hukkineen</t>
        </r>
      </text>
    </comment>
    <comment ref="J23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23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F30" authorId="1">
      <text>
        <r>
          <rPr>
            <sz val="8"/>
            <rFont val="Tahoma"/>
            <family val="2"/>
          </rPr>
          <t>Tuotannon katteeton omakustannushinta sisältäen koneet, kulut ja palkat (myös työnjohto)</t>
        </r>
      </text>
    </comment>
    <comment ref="J30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K30" authorId="1">
      <text>
        <r>
          <rPr>
            <sz val="8"/>
            <rFont val="Tahoma"/>
            <family val="2"/>
          </rPr>
          <t>Haluttu kate omakustannushinnan päälle,
työlle 50%</t>
        </r>
      </text>
    </comment>
    <comment ref="L30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B47" authorId="1">
      <text>
        <r>
          <rPr>
            <sz val="8"/>
            <rFont val="Tahoma"/>
            <family val="2"/>
          </rPr>
          <t xml:space="preserve">Toimituseräkustannukset: Käsittely, pakkaaminen, laskutus
</t>
        </r>
      </text>
    </comment>
    <comment ref="F47" authorId="1">
      <text>
        <r>
          <rPr>
            <sz val="8"/>
            <rFont val="Tahoma"/>
            <family val="2"/>
          </rPr>
          <t>Alin turvallinen hinta</t>
        </r>
      </text>
    </comment>
    <comment ref="H47" authorId="1">
      <text>
        <r>
          <rPr>
            <sz val="8"/>
            <rFont val="Tahoma"/>
            <family val="2"/>
          </rPr>
          <t>Kerroin voi sisältää riskivaran 1.00-1.20</t>
        </r>
      </text>
    </comment>
    <comment ref="J47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K47" authorId="1">
      <text>
        <r>
          <rPr>
            <sz val="8"/>
            <rFont val="Tahoma"/>
            <family val="2"/>
          </rPr>
          <t>Haluttu kate omakustannushinnan päälle, työkaluille 20%-50%</t>
        </r>
      </text>
    </comment>
    <comment ref="L47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K52" authorId="1">
      <text>
        <r>
          <rPr>
            <sz val="8"/>
            <rFont val="Tahoma"/>
            <family val="2"/>
          </rPr>
          <t>Haluttu kate omakustannushinnan päälle,
alihankinnassa 10%-30%</t>
        </r>
      </text>
    </comment>
    <comment ref="B55" authorId="1">
      <text>
        <r>
          <rPr>
            <sz val="8"/>
            <rFont val="Tahoma"/>
            <family val="2"/>
          </rPr>
          <t>Peruskustannukset, jyvitetään projektin tai vuosimenekin kpl-hintaan.</t>
        </r>
      </text>
    </comment>
    <comment ref="F55" authorId="1">
      <text>
        <r>
          <rPr>
            <sz val="8"/>
            <rFont val="Tahoma"/>
            <family val="2"/>
          </rPr>
          <t>Alin turvallinen hinta</t>
        </r>
      </text>
    </comment>
    <comment ref="J55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55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K11" authorId="1">
      <text>
        <r>
          <rPr>
            <sz val="8"/>
            <rFont val="Tahoma"/>
            <family val="2"/>
          </rPr>
          <t>Laskettu kate omakustannushinnan päälle</t>
        </r>
      </text>
    </comment>
    <comment ref="K55" authorId="1">
      <text>
        <r>
          <rPr>
            <sz val="8"/>
            <rFont val="Tahoma"/>
            <family val="2"/>
          </rPr>
          <t>Haluttu kate omakustannushinnan päälle,
työlle 50%</t>
        </r>
      </text>
    </comment>
    <comment ref="H55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30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23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16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K27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44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20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60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</commentList>
</comments>
</file>

<file path=xl/comments5.xml><?xml version="1.0" encoding="utf-8"?>
<comments xmlns="http://schemas.openxmlformats.org/spreadsheetml/2006/main">
  <authors>
    <author> </author>
    <author>JukkaKet</author>
  </authors>
  <commentList>
    <comment ref="F4" authorId="0">
      <text>
        <r>
          <rPr>
            <sz val="8"/>
            <rFont val="Tahoma"/>
            <family val="2"/>
          </rPr>
          <t>Tämä kuvaava nimi siirtyy myyntituotteen laskelmaan.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 Vuosimenekki tai projektin menekki </t>
        </r>
      </text>
    </comment>
    <comment ref="J11" authorId="1">
      <text>
        <r>
          <rPr>
            <sz val="8"/>
            <rFont val="Tahoma"/>
            <family val="2"/>
          </rPr>
          <t>Kokonaisomakustannushinta ilman katteita.</t>
        </r>
      </text>
    </comment>
    <comment ref="L11" authorId="1">
      <text>
        <r>
          <rPr>
            <sz val="8"/>
            <rFont val="Tahoma"/>
            <family val="2"/>
          </rPr>
          <t>Laskennallinen katteellinen myyntihinta.</t>
        </r>
      </text>
    </comment>
    <comment ref="F16" authorId="1">
      <text>
        <r>
          <rPr>
            <sz val="8"/>
            <rFont val="Tahoma"/>
            <family val="2"/>
          </rPr>
          <t>Oston antama alin turvallinen ostohinta aineen bruttotarpeelle, hukkineen</t>
        </r>
      </text>
    </comment>
    <comment ref="J16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16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F23" authorId="1">
      <text>
        <r>
          <rPr>
            <sz val="8"/>
            <rFont val="Tahoma"/>
            <family val="2"/>
          </rPr>
          <t>Oston antama alin turvallinen ostohinta aineen bruttotarpeelle, hukkineen</t>
        </r>
      </text>
    </comment>
    <comment ref="J23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23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F30" authorId="1">
      <text>
        <r>
          <rPr>
            <sz val="8"/>
            <rFont val="Tahoma"/>
            <family val="2"/>
          </rPr>
          <t>Tuotannon katteeton omakustannushinta sisältäen koneet, kulut ja palkat (myös työnjohto)</t>
        </r>
      </text>
    </comment>
    <comment ref="J30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30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B47" authorId="1">
      <text>
        <r>
          <rPr>
            <sz val="8"/>
            <rFont val="Tahoma"/>
            <family val="2"/>
          </rPr>
          <t xml:space="preserve">Toimituseräkustannukset: Käsittely, pakkaaminen, laskutus
</t>
        </r>
      </text>
    </comment>
    <comment ref="F47" authorId="1">
      <text>
        <r>
          <rPr>
            <sz val="8"/>
            <rFont val="Tahoma"/>
            <family val="2"/>
          </rPr>
          <t>Alin turvallinen hinta</t>
        </r>
      </text>
    </comment>
    <comment ref="H47" authorId="1">
      <text>
        <r>
          <rPr>
            <sz val="8"/>
            <rFont val="Tahoma"/>
            <family val="2"/>
          </rPr>
          <t>Kerroin voi sisältää riskivaran 1.00-1.20</t>
        </r>
      </text>
    </comment>
    <comment ref="J47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K47" authorId="1">
      <text>
        <r>
          <rPr>
            <sz val="8"/>
            <rFont val="Tahoma"/>
            <family val="2"/>
          </rPr>
          <t>Haluttu kate omakustannushinnan päälle, työkaluille 20%-50%</t>
        </r>
      </text>
    </comment>
    <comment ref="L47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K52" authorId="1">
      <text>
        <r>
          <rPr>
            <sz val="8"/>
            <rFont val="Tahoma"/>
            <family val="2"/>
          </rPr>
          <t>Haluttu kate omakustannushinnan päälle,
alihankinnassa 10%-30%</t>
        </r>
      </text>
    </comment>
    <comment ref="B55" authorId="1">
      <text>
        <r>
          <rPr>
            <sz val="8"/>
            <rFont val="Tahoma"/>
            <family val="2"/>
          </rPr>
          <t>Peruskustannukset, jyvitetään projektin tai vuosimenekin kpl-hintaan.</t>
        </r>
      </text>
    </comment>
    <comment ref="F55" authorId="1">
      <text>
        <r>
          <rPr>
            <sz val="8"/>
            <rFont val="Tahoma"/>
            <family val="2"/>
          </rPr>
          <t>Alin turvallinen hinta</t>
        </r>
      </text>
    </comment>
    <comment ref="J55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55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K11" authorId="1">
      <text>
        <r>
          <rPr>
            <sz val="8"/>
            <rFont val="Tahoma"/>
            <family val="2"/>
          </rPr>
          <t>Laskettu kate omakustannushinnan päälle</t>
        </r>
      </text>
    </comment>
    <comment ref="K55" authorId="1">
      <text>
        <r>
          <rPr>
            <sz val="8"/>
            <rFont val="Tahoma"/>
            <family val="2"/>
          </rPr>
          <t>Haluttu kate omakustannushinnan päälle,
työlle 50%</t>
        </r>
      </text>
    </comment>
    <comment ref="K30" authorId="1">
      <text>
        <r>
          <rPr>
            <sz val="8"/>
            <rFont val="Tahoma"/>
            <family val="2"/>
          </rPr>
          <t>Haluttu kate omakustannushinnan päälle,
työlle 50%</t>
        </r>
      </text>
    </comment>
    <comment ref="H55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30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23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16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K60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44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27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20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</commentList>
</comments>
</file>

<file path=xl/comments6.xml><?xml version="1.0" encoding="utf-8"?>
<comments xmlns="http://schemas.openxmlformats.org/spreadsheetml/2006/main">
  <authors>
    <author> </author>
    <author>JukkaKet</author>
  </authors>
  <commentList>
    <comment ref="F4" authorId="0">
      <text>
        <r>
          <rPr>
            <sz val="8"/>
            <rFont val="Tahoma"/>
            <family val="2"/>
          </rPr>
          <t>Tämä kuvaava nimi siirtyy myyntituotteen laskelmaan.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 Vuosimenekki tai projektin menekki </t>
        </r>
      </text>
    </comment>
    <comment ref="J11" authorId="1">
      <text>
        <r>
          <rPr>
            <sz val="8"/>
            <rFont val="Tahoma"/>
            <family val="2"/>
          </rPr>
          <t>Kokonaisomakustannushinta ilman katteita.</t>
        </r>
      </text>
    </comment>
    <comment ref="L11" authorId="1">
      <text>
        <r>
          <rPr>
            <sz val="8"/>
            <rFont val="Tahoma"/>
            <family val="2"/>
          </rPr>
          <t>Laskennallinen katteellinen myyntihinta.</t>
        </r>
      </text>
    </comment>
    <comment ref="F16" authorId="1">
      <text>
        <r>
          <rPr>
            <sz val="8"/>
            <rFont val="Tahoma"/>
            <family val="2"/>
          </rPr>
          <t>Oston antama alin turvallinen ostohinta aineen bruttotarpeelle, hukkineen</t>
        </r>
      </text>
    </comment>
    <comment ref="J16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16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F23" authorId="1">
      <text>
        <r>
          <rPr>
            <sz val="8"/>
            <rFont val="Tahoma"/>
            <family val="2"/>
          </rPr>
          <t>Oston antama alin turvallinen ostohinta aineen bruttotarpeelle, hukkineen</t>
        </r>
      </text>
    </comment>
    <comment ref="J23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23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F30" authorId="1">
      <text>
        <r>
          <rPr>
            <sz val="8"/>
            <rFont val="Tahoma"/>
            <family val="2"/>
          </rPr>
          <t>Tuotannon katteeton omakustannushinta sisältäen koneet, kulut ja palkat (myös työnjohto)</t>
        </r>
      </text>
    </comment>
    <comment ref="J30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30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B47" authorId="1">
      <text>
        <r>
          <rPr>
            <sz val="8"/>
            <rFont val="Tahoma"/>
            <family val="2"/>
          </rPr>
          <t xml:space="preserve">Toimituseräkustannukset: Käsittely, pakkaaminen, laskutus
</t>
        </r>
      </text>
    </comment>
    <comment ref="F47" authorId="1">
      <text>
        <r>
          <rPr>
            <sz val="8"/>
            <rFont val="Tahoma"/>
            <family val="2"/>
          </rPr>
          <t>Alin turvallinen hinta</t>
        </r>
      </text>
    </comment>
    <comment ref="H47" authorId="1">
      <text>
        <r>
          <rPr>
            <sz val="8"/>
            <rFont val="Tahoma"/>
            <family val="2"/>
          </rPr>
          <t>Kerroin voi sisältää riskivaran 1.00-1.20</t>
        </r>
      </text>
    </comment>
    <comment ref="J47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K47" authorId="1">
      <text>
        <r>
          <rPr>
            <sz val="8"/>
            <rFont val="Tahoma"/>
            <family val="2"/>
          </rPr>
          <t>Haluttu kate omakustannushinnan päälle, työkaluille 20%-50%</t>
        </r>
      </text>
    </comment>
    <comment ref="L47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K52" authorId="1">
      <text>
        <r>
          <rPr>
            <sz val="8"/>
            <rFont val="Tahoma"/>
            <family val="2"/>
          </rPr>
          <t>Haluttu kate omakustannushinnan päälle,
alihankinnassa 10%-30%</t>
        </r>
      </text>
    </comment>
    <comment ref="B55" authorId="1">
      <text>
        <r>
          <rPr>
            <sz val="8"/>
            <rFont val="Tahoma"/>
            <family val="2"/>
          </rPr>
          <t>Peruskustannukset, jyvitetään projektin tai vuosimenekin kpl-hintaan.</t>
        </r>
      </text>
    </comment>
    <comment ref="F55" authorId="1">
      <text>
        <r>
          <rPr>
            <sz val="8"/>
            <rFont val="Tahoma"/>
            <family val="2"/>
          </rPr>
          <t>Alin turvallinen hinta</t>
        </r>
      </text>
    </comment>
    <comment ref="J55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55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K11" authorId="1">
      <text>
        <r>
          <rPr>
            <sz val="8"/>
            <rFont val="Tahoma"/>
            <family val="2"/>
          </rPr>
          <t>Laskettu kate omakustannushinnan päälle</t>
        </r>
      </text>
    </comment>
    <comment ref="K55" authorId="1">
      <text>
        <r>
          <rPr>
            <sz val="8"/>
            <rFont val="Tahoma"/>
            <family val="2"/>
          </rPr>
          <t>Haluttu kate omakustannushinnan päälle,
työlle 50%</t>
        </r>
      </text>
    </comment>
    <comment ref="K30" authorId="1">
      <text>
        <r>
          <rPr>
            <sz val="8"/>
            <rFont val="Tahoma"/>
            <family val="2"/>
          </rPr>
          <t>Haluttu kate omakustannushinnan päälle,
työlle 50%</t>
        </r>
      </text>
    </comment>
    <comment ref="H55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30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23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16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K60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44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27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20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</commentList>
</comments>
</file>

<file path=xl/comments7.xml><?xml version="1.0" encoding="utf-8"?>
<comments xmlns="http://schemas.openxmlformats.org/spreadsheetml/2006/main">
  <authors>
    <author> </author>
    <author>JukkaKet</author>
  </authors>
  <commentList>
    <comment ref="F4" authorId="0">
      <text>
        <r>
          <rPr>
            <sz val="8"/>
            <rFont val="Tahoma"/>
            <family val="2"/>
          </rPr>
          <t>Tämä kuvaava nimi siirtyy myyntituotteen laskelmaan.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 Vuosimenekki tai projektin menekki </t>
        </r>
      </text>
    </comment>
    <comment ref="J11" authorId="1">
      <text>
        <r>
          <rPr>
            <sz val="8"/>
            <rFont val="Tahoma"/>
            <family val="2"/>
          </rPr>
          <t>Kokonaisomakustannushinta ilman katteita.</t>
        </r>
      </text>
    </comment>
    <comment ref="L11" authorId="1">
      <text>
        <r>
          <rPr>
            <sz val="8"/>
            <rFont val="Tahoma"/>
            <family val="2"/>
          </rPr>
          <t>Laskennallinen katteellinen myyntihinta.</t>
        </r>
      </text>
    </comment>
    <comment ref="F16" authorId="1">
      <text>
        <r>
          <rPr>
            <sz val="8"/>
            <rFont val="Tahoma"/>
            <family val="2"/>
          </rPr>
          <t>Oston antama alin turvallinen ostohinta aineen bruttotarpeelle, hukkineen</t>
        </r>
      </text>
    </comment>
    <comment ref="J16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16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F23" authorId="1">
      <text>
        <r>
          <rPr>
            <sz val="8"/>
            <rFont val="Tahoma"/>
            <family val="2"/>
          </rPr>
          <t>Oston antama alin turvallinen ostohinta aineen bruttotarpeelle, hukkineen</t>
        </r>
      </text>
    </comment>
    <comment ref="J23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23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F30" authorId="1">
      <text>
        <r>
          <rPr>
            <sz val="8"/>
            <rFont val="Tahoma"/>
            <family val="2"/>
          </rPr>
          <t>Tuotannon katteeton omakustannushinta sisältäen koneet, kulut ja palkat (myös työnjohto)</t>
        </r>
      </text>
    </comment>
    <comment ref="J30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30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B47" authorId="1">
      <text>
        <r>
          <rPr>
            <sz val="8"/>
            <rFont val="Tahoma"/>
            <family val="2"/>
          </rPr>
          <t xml:space="preserve">Toimituseräkustannukset: Käsittely, pakkaaminen, laskutus
</t>
        </r>
      </text>
    </comment>
    <comment ref="F47" authorId="1">
      <text>
        <r>
          <rPr>
            <sz val="8"/>
            <rFont val="Tahoma"/>
            <family val="2"/>
          </rPr>
          <t>Alin turvallinen hinta</t>
        </r>
      </text>
    </comment>
    <comment ref="H47" authorId="1">
      <text>
        <r>
          <rPr>
            <sz val="8"/>
            <rFont val="Tahoma"/>
            <family val="2"/>
          </rPr>
          <t>Kerroin voi sisältää riskivaran 1.00-1.20</t>
        </r>
      </text>
    </comment>
    <comment ref="J47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K47" authorId="1">
      <text>
        <r>
          <rPr>
            <sz val="8"/>
            <rFont val="Tahoma"/>
            <family val="2"/>
          </rPr>
          <t>Haluttu kate omakustannushinnan päälle, työkaluille 20%-50%</t>
        </r>
      </text>
    </comment>
    <comment ref="L47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K52" authorId="1">
      <text>
        <r>
          <rPr>
            <sz val="8"/>
            <rFont val="Tahoma"/>
            <family val="2"/>
          </rPr>
          <t>Haluttu kate omakustannushinnan päälle,
alihankinnassa 10%-30%</t>
        </r>
      </text>
    </comment>
    <comment ref="B55" authorId="1">
      <text>
        <r>
          <rPr>
            <sz val="8"/>
            <rFont val="Tahoma"/>
            <family val="2"/>
          </rPr>
          <t>Peruskustannukset, jyvitetään projektin tai vuosimenekin kpl-hintaan.</t>
        </r>
      </text>
    </comment>
    <comment ref="F55" authorId="1">
      <text>
        <r>
          <rPr>
            <sz val="8"/>
            <rFont val="Tahoma"/>
            <family val="2"/>
          </rPr>
          <t>Alin turvallinen hinta</t>
        </r>
      </text>
    </comment>
    <comment ref="J55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55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K11" authorId="1">
      <text>
        <r>
          <rPr>
            <sz val="8"/>
            <rFont val="Tahoma"/>
            <family val="2"/>
          </rPr>
          <t>Laskettu kate omakustannushinnan päälle</t>
        </r>
      </text>
    </comment>
    <comment ref="K55" authorId="1">
      <text>
        <r>
          <rPr>
            <sz val="8"/>
            <rFont val="Tahoma"/>
            <family val="2"/>
          </rPr>
          <t>Haluttu kate omakustannushinnan päälle,
työlle 50%</t>
        </r>
      </text>
    </comment>
    <comment ref="K30" authorId="1">
      <text>
        <r>
          <rPr>
            <sz val="8"/>
            <rFont val="Tahoma"/>
            <family val="2"/>
          </rPr>
          <t>Haluttu kate omakustannushinnan päälle,
työlle 50%</t>
        </r>
      </text>
    </comment>
    <comment ref="H55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30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23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16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K60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44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27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20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</commentList>
</comments>
</file>

<file path=xl/comments8.xml><?xml version="1.0" encoding="utf-8"?>
<comments xmlns="http://schemas.openxmlformats.org/spreadsheetml/2006/main">
  <authors>
    <author> </author>
    <author>JukkaKet</author>
  </authors>
  <commentList>
    <comment ref="F4" authorId="0">
      <text>
        <r>
          <rPr>
            <sz val="8"/>
            <rFont val="Tahoma"/>
            <family val="2"/>
          </rPr>
          <t>Tämä kuvaava nimi siirtyy myyntituotteen laskelmaan.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 Vuosimenekki tai projektin menekki </t>
        </r>
      </text>
    </comment>
    <comment ref="J11" authorId="1">
      <text>
        <r>
          <rPr>
            <sz val="8"/>
            <rFont val="Tahoma"/>
            <family val="2"/>
          </rPr>
          <t>Kokonaisomakustannushinta ilman katteita.</t>
        </r>
      </text>
    </comment>
    <comment ref="L11" authorId="1">
      <text>
        <r>
          <rPr>
            <sz val="8"/>
            <rFont val="Tahoma"/>
            <family val="2"/>
          </rPr>
          <t>Laskennallinen katteellinen myyntihinta.</t>
        </r>
      </text>
    </comment>
    <comment ref="F16" authorId="1">
      <text>
        <r>
          <rPr>
            <sz val="8"/>
            <rFont val="Tahoma"/>
            <family val="2"/>
          </rPr>
          <t>Oston antama alin turvallinen ostohinta aineen bruttotarpeelle, hukkineen</t>
        </r>
      </text>
    </comment>
    <comment ref="J16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16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F23" authorId="1">
      <text>
        <r>
          <rPr>
            <sz val="8"/>
            <rFont val="Tahoma"/>
            <family val="2"/>
          </rPr>
          <t>Oston antama alin turvallinen ostohinta aineen bruttotarpeelle, hukkineen</t>
        </r>
      </text>
    </comment>
    <comment ref="J23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23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F30" authorId="1">
      <text>
        <r>
          <rPr>
            <sz val="8"/>
            <rFont val="Tahoma"/>
            <family val="2"/>
          </rPr>
          <t>Tuotannon katteeton omakustannushinta sisältäen koneet, kulut ja palkat (myös työnjohto)</t>
        </r>
      </text>
    </comment>
    <comment ref="J30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30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B47" authorId="1">
      <text>
        <r>
          <rPr>
            <sz val="8"/>
            <rFont val="Tahoma"/>
            <family val="2"/>
          </rPr>
          <t xml:space="preserve">Toimituseräkustannukset: Käsittely, pakkaaminen, laskutus
</t>
        </r>
      </text>
    </comment>
    <comment ref="F47" authorId="1">
      <text>
        <r>
          <rPr>
            <sz val="8"/>
            <rFont val="Tahoma"/>
            <family val="2"/>
          </rPr>
          <t>Alin turvallinen hinta</t>
        </r>
      </text>
    </comment>
    <comment ref="H47" authorId="1">
      <text>
        <r>
          <rPr>
            <sz val="8"/>
            <rFont val="Tahoma"/>
            <family val="2"/>
          </rPr>
          <t>Kerroin voi sisältää riskivaran 1.00-1.20</t>
        </r>
      </text>
    </comment>
    <comment ref="J47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K47" authorId="1">
      <text>
        <r>
          <rPr>
            <sz val="8"/>
            <rFont val="Tahoma"/>
            <family val="2"/>
          </rPr>
          <t>Haluttu kate omakustannushinnan päälle, työkaluille 20%-50%</t>
        </r>
      </text>
    </comment>
    <comment ref="L47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K52" authorId="1">
      <text>
        <r>
          <rPr>
            <sz val="8"/>
            <rFont val="Tahoma"/>
            <family val="2"/>
          </rPr>
          <t>Haluttu kate omakustannushinnan päälle,
alihankinnassa 10%-30%</t>
        </r>
      </text>
    </comment>
    <comment ref="B55" authorId="1">
      <text>
        <r>
          <rPr>
            <sz val="8"/>
            <rFont val="Tahoma"/>
            <family val="2"/>
          </rPr>
          <t>Peruskustannukset, jyvitetään projektin tai vuosimenekin kpl-hintaan.</t>
        </r>
      </text>
    </comment>
    <comment ref="F55" authorId="1">
      <text>
        <r>
          <rPr>
            <sz val="8"/>
            <rFont val="Tahoma"/>
            <family val="2"/>
          </rPr>
          <t>Alin turvallinen hinta</t>
        </r>
      </text>
    </comment>
    <comment ref="J55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55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K11" authorId="1">
      <text>
        <r>
          <rPr>
            <sz val="8"/>
            <rFont val="Tahoma"/>
            <family val="2"/>
          </rPr>
          <t>Laskettu kate omakustannushinnan päälle</t>
        </r>
      </text>
    </comment>
    <comment ref="K55" authorId="1">
      <text>
        <r>
          <rPr>
            <sz val="8"/>
            <rFont val="Tahoma"/>
            <family val="2"/>
          </rPr>
          <t>Haluttu kate omakustannushinnan päälle,
työlle 50%</t>
        </r>
      </text>
    </comment>
    <comment ref="K30" authorId="1">
      <text>
        <r>
          <rPr>
            <sz val="8"/>
            <rFont val="Tahoma"/>
            <family val="2"/>
          </rPr>
          <t>Haluttu kate omakustannushinnan päälle,
työlle 50%</t>
        </r>
      </text>
    </comment>
    <comment ref="H55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30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23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16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K60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44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27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20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</commentList>
</comments>
</file>

<file path=xl/comments9.xml><?xml version="1.0" encoding="utf-8"?>
<comments xmlns="http://schemas.openxmlformats.org/spreadsheetml/2006/main">
  <authors>
    <author> </author>
    <author>JukkaKet</author>
  </authors>
  <commentList>
    <comment ref="F4" authorId="0">
      <text>
        <r>
          <rPr>
            <sz val="8"/>
            <rFont val="Tahoma"/>
            <family val="2"/>
          </rPr>
          <t>Tämä kuvaava nimi siirtyy myyntituotteen laskelmaan.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 Vuosimenekki tai projektin menekki </t>
        </r>
      </text>
    </comment>
    <comment ref="J11" authorId="1">
      <text>
        <r>
          <rPr>
            <sz val="8"/>
            <rFont val="Tahoma"/>
            <family val="2"/>
          </rPr>
          <t>Kokonaisomakustannushinta ilman katteita.</t>
        </r>
      </text>
    </comment>
    <comment ref="L11" authorId="1">
      <text>
        <r>
          <rPr>
            <sz val="8"/>
            <rFont val="Tahoma"/>
            <family val="2"/>
          </rPr>
          <t>Laskennallinen katteellinen myyntihinta.</t>
        </r>
      </text>
    </comment>
    <comment ref="F16" authorId="1">
      <text>
        <r>
          <rPr>
            <sz val="8"/>
            <rFont val="Tahoma"/>
            <family val="2"/>
          </rPr>
          <t>Oston antama alin turvallinen ostohinta aineen bruttotarpeelle, hukkineen</t>
        </r>
      </text>
    </comment>
    <comment ref="J16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16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F23" authorId="1">
      <text>
        <r>
          <rPr>
            <sz val="8"/>
            <rFont val="Tahoma"/>
            <family val="2"/>
          </rPr>
          <t>Oston antama alin turvallinen ostohinta aineen bruttotarpeelle, hukkineen</t>
        </r>
      </text>
    </comment>
    <comment ref="J23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23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F30" authorId="1">
      <text>
        <r>
          <rPr>
            <sz val="8"/>
            <rFont val="Tahoma"/>
            <family val="2"/>
          </rPr>
          <t>Tuotannon katteeton omakustannushinta sisältäen koneet, kulut ja palkat (myös työnjohto)</t>
        </r>
      </text>
    </comment>
    <comment ref="J30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30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B47" authorId="1">
      <text>
        <r>
          <rPr>
            <sz val="8"/>
            <rFont val="Tahoma"/>
            <family val="2"/>
          </rPr>
          <t xml:space="preserve">Toimituseräkustannukset: Käsittely, pakkaaminen, laskutus
</t>
        </r>
      </text>
    </comment>
    <comment ref="F47" authorId="1">
      <text>
        <r>
          <rPr>
            <sz val="8"/>
            <rFont val="Tahoma"/>
            <family val="2"/>
          </rPr>
          <t>Alin turvallinen hinta</t>
        </r>
      </text>
    </comment>
    <comment ref="H47" authorId="1">
      <text>
        <r>
          <rPr>
            <sz val="8"/>
            <rFont val="Tahoma"/>
            <family val="2"/>
          </rPr>
          <t>Kerroin voi sisältää riskivaran 1.00-1.20</t>
        </r>
      </text>
    </comment>
    <comment ref="J47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K47" authorId="1">
      <text>
        <r>
          <rPr>
            <sz val="8"/>
            <rFont val="Tahoma"/>
            <family val="2"/>
          </rPr>
          <t>Haluttu kate omakustannushinnan päälle, työkaluille 20%-50%</t>
        </r>
      </text>
    </comment>
    <comment ref="L47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K52" authorId="1">
      <text>
        <r>
          <rPr>
            <sz val="8"/>
            <rFont val="Tahoma"/>
            <family val="2"/>
          </rPr>
          <t>Haluttu kate omakustannushinnan päälle,
alihankinnassa 10%-30%</t>
        </r>
      </text>
    </comment>
    <comment ref="B55" authorId="1">
      <text>
        <r>
          <rPr>
            <sz val="8"/>
            <rFont val="Tahoma"/>
            <family val="2"/>
          </rPr>
          <t>Peruskustannukset, jyvitetään projektin tai vuosimenekin kpl-hintaan.</t>
        </r>
      </text>
    </comment>
    <comment ref="F55" authorId="1">
      <text>
        <r>
          <rPr>
            <sz val="8"/>
            <rFont val="Tahoma"/>
            <family val="2"/>
          </rPr>
          <t>Alin turvallinen hinta</t>
        </r>
      </text>
    </comment>
    <comment ref="J55" authorId="1">
      <text>
        <r>
          <rPr>
            <sz val="8"/>
            <rFont val="Tahoma"/>
            <family val="2"/>
          </rPr>
          <t xml:space="preserve">Omakustannushinta jonka toteuttamiseen tuotanto on sitoutunut, </t>
        </r>
        <r>
          <rPr>
            <b/>
            <sz val="8"/>
            <rFont val="Tahoma"/>
            <family val="2"/>
          </rPr>
          <t>ei sisällä katteita.</t>
        </r>
      </text>
    </comment>
    <comment ref="L55" authorId="1">
      <text>
        <r>
          <rPr>
            <sz val="8"/>
            <rFont val="Tahoma"/>
            <family val="2"/>
          </rPr>
          <t>Katteellinen myyntihinta kustakin kokonaisuudesta.</t>
        </r>
      </text>
    </comment>
    <comment ref="K11" authorId="1">
      <text>
        <r>
          <rPr>
            <sz val="8"/>
            <rFont val="Tahoma"/>
            <family val="2"/>
          </rPr>
          <t>Laskettu kate omakustannushinnan päälle</t>
        </r>
      </text>
    </comment>
    <comment ref="K30" authorId="1">
      <text>
        <r>
          <rPr>
            <sz val="8"/>
            <rFont val="Tahoma"/>
            <family val="2"/>
          </rPr>
          <t>Haluttu kate omakustannushinnan päälle,
työlle 50%</t>
        </r>
      </text>
    </comment>
    <comment ref="K55" authorId="1">
      <text>
        <r>
          <rPr>
            <sz val="8"/>
            <rFont val="Tahoma"/>
            <family val="2"/>
          </rPr>
          <t>Haluttu kate omakustannushinnan päälle,
työlle 50%</t>
        </r>
      </text>
    </comment>
    <comment ref="H55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30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23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H16" authorId="1">
      <text>
        <r>
          <rPr>
            <sz val="8"/>
            <rFont val="Tahoma"/>
            <family val="2"/>
          </rPr>
          <t>Käsittelyn ja varastoinnin määrästä,  riippuva kerroin 1.04-1.15</t>
        </r>
      </text>
    </comment>
    <comment ref="K60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44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27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  <comment ref="K20" authorId="1">
      <text>
        <r>
          <rPr>
            <sz val="8"/>
            <rFont val="Tahoma"/>
            <family val="2"/>
          </rPr>
          <t>Haluttu kate omakustannushinnan päälle,
raaka-aineissa 10%-30%</t>
        </r>
      </text>
    </comment>
  </commentList>
</comments>
</file>

<file path=xl/sharedStrings.xml><?xml version="1.0" encoding="utf-8"?>
<sst xmlns="http://schemas.openxmlformats.org/spreadsheetml/2006/main" count="1224" uniqueCount="169">
  <si>
    <t>Drawing:  3093-40</t>
  </si>
  <si>
    <t>flat steel 10x50-100</t>
  </si>
  <si>
    <t>S235 Laser cutting</t>
  </si>
  <si>
    <t>Hot-dip galvanizing</t>
  </si>
  <si>
    <t>Transport</t>
  </si>
  <si>
    <t>Bending</t>
  </si>
  <si>
    <t>Setting 10 min</t>
  </si>
  <si>
    <t>Cutting</t>
  </si>
  <si>
    <t>PL4 S235JRG2 Lase cut</t>
  </si>
  <si>
    <t>Screws M12x100</t>
  </si>
  <si>
    <t>Nuts M12 Nyloc</t>
  </si>
  <si>
    <t>Washers M12</t>
  </si>
  <si>
    <t>Screws M12x50</t>
  </si>
  <si>
    <t>Post charge</t>
  </si>
  <si>
    <t>Welding</t>
  </si>
  <si>
    <t>Putki 25x3 -50</t>
  </si>
  <si>
    <t>Putki 25x3 -50 S235</t>
  </si>
  <si>
    <t>Drawing:  3093-09</t>
  </si>
  <si>
    <t>Label</t>
  </si>
  <si>
    <t>Labelling</t>
  </si>
  <si>
    <t>Drawing:  3093-08</t>
  </si>
  <si>
    <t>Round plate</t>
  </si>
  <si>
    <t>Plate 3 S235</t>
  </si>
  <si>
    <t>Flat steel</t>
  </si>
  <si>
    <t>€/kpl</t>
  </si>
  <si>
    <t>€/h</t>
  </si>
  <si>
    <t>min</t>
  </si>
  <si>
    <t>€</t>
  </si>
  <si>
    <t>Kust/kpl</t>
  </si>
  <si>
    <t>Katetav%</t>
  </si>
  <si>
    <t>Mar Alalaippa 20051108</t>
  </si>
  <si>
    <t>Muista nimetä kuvaavasti, esimerkiksi:</t>
  </si>
  <si>
    <t>Tummat alueet tulevat kaavoilla.</t>
  </si>
  <si>
    <t>Käytä taulukon alapuolta laskelmille</t>
  </si>
  <si>
    <t>kg,m</t>
  </si>
  <si>
    <t xml:space="preserve">€/kg,m </t>
  </si>
  <si>
    <t>Netto/rivi</t>
  </si>
  <si>
    <t>Erän käsittely</t>
  </si>
  <si>
    <t>TOIMITUSERÄN KUSTANNUKSET</t>
  </si>
  <si>
    <t>Toim.erä</t>
  </si>
  <si>
    <t>VUOSIKUSTANNUKSET</t>
  </si>
  <si>
    <t>Käsittely (10-50€)</t>
  </si>
  <si>
    <t>Pakkaus (10-50€)</t>
  </si>
  <si>
    <t>Eriä / v</t>
  </si>
  <si>
    <t>€/v</t>
  </si>
  <si>
    <t>Hallinto (10-20€)</t>
  </si>
  <si>
    <t>Valm.erän kate</t>
  </si>
  <si>
    <t>Toimituserän kustannukset yht.</t>
  </si>
  <si>
    <t>NÄMÄ RIVIT PIILOON</t>
  </si>
  <si>
    <t>OSALASKELMASSA</t>
  </si>
  <si>
    <t>1v</t>
  </si>
  <si>
    <t>Laskettu hinta</t>
  </si>
  <si>
    <t>Oma kust.</t>
  </si>
  <si>
    <t>Käsittel. kerroin</t>
  </si>
  <si>
    <t>Puolivalmisteelta siirtyy myyntituotteelle vain omakustannus, ei katteita.</t>
  </si>
  <si>
    <t>Puolivalmisteelta siirtyy myyntituotteelle vain oma kustannus, ei katteita. Siirtyvät kentät näkyvät punaisina.</t>
  </si>
  <si>
    <t xml:space="preserve"> /proj.</t>
  </si>
  <si>
    <t>Työkalut (jyvitetään vuosimenekille)</t>
  </si>
  <si>
    <r>
      <t>Vihreitä</t>
    </r>
    <r>
      <rPr>
        <sz val="10"/>
        <rFont val="Arial"/>
        <family val="0"/>
      </rPr>
      <t xml:space="preserve"> tietoja käytetään laskennassa.</t>
    </r>
  </si>
  <si>
    <r>
      <t xml:space="preserve">Täytä </t>
    </r>
    <r>
      <rPr>
        <sz val="10"/>
        <color indexed="18"/>
        <rFont val="Arial"/>
        <family val="2"/>
      </rPr>
      <t>siniset</t>
    </r>
    <r>
      <rPr>
        <sz val="10"/>
        <rFont val="Arial"/>
        <family val="0"/>
      </rPr>
      <t xml:space="preserve"> ja </t>
    </r>
    <r>
      <rPr>
        <sz val="10"/>
        <color indexed="17"/>
        <rFont val="Arial"/>
        <family val="2"/>
      </rPr>
      <t>vihreät</t>
    </r>
    <r>
      <rPr>
        <sz val="10"/>
        <rFont val="Arial"/>
        <family val="0"/>
      </rPr>
      <t xml:space="preserve"> solut.</t>
    </r>
  </si>
  <si>
    <t>Jos huomaat virheitä, ilmoita PeKolle.</t>
  </si>
  <si>
    <t>Omakust.h.</t>
  </si>
  <si>
    <t>Kari Kolehmainen</t>
  </si>
  <si>
    <t>kg</t>
  </si>
  <si>
    <t>€/kg</t>
  </si>
  <si>
    <t>€/m</t>
  </si>
  <si>
    <t>m</t>
  </si>
  <si>
    <t>Calculation</t>
  </si>
  <si>
    <t>Factory cost</t>
  </si>
  <si>
    <t>Customer</t>
  </si>
  <si>
    <t>Product</t>
  </si>
  <si>
    <t>Amounts</t>
  </si>
  <si>
    <t xml:space="preserve">Drawing:  </t>
  </si>
  <si>
    <t>Date</t>
  </si>
  <si>
    <t>Part</t>
  </si>
  <si>
    <t>Pcs</t>
  </si>
  <si>
    <t>€/pc</t>
  </si>
  <si>
    <t>times</t>
  </si>
  <si>
    <t>Net/row</t>
  </si>
  <si>
    <t>cost/pc</t>
  </si>
  <si>
    <t>Cost/row</t>
  </si>
  <si>
    <t>Calculated price</t>
  </si>
  <si>
    <t>RAW MATERIAL</t>
  </si>
  <si>
    <t>WORK</t>
  </si>
  <si>
    <t>SUBCONTRACTING</t>
  </si>
  <si>
    <t>TOTAL COSTS</t>
  </si>
  <si>
    <t>pcs</t>
  </si>
  <si>
    <t>Cost/ row</t>
  </si>
  <si>
    <t>Raw materials total:</t>
  </si>
  <si>
    <t>Hours per year</t>
  </si>
  <si>
    <t>Lifetime</t>
  </si>
  <si>
    <t>€/Pc</t>
  </si>
  <si>
    <t>Times</t>
  </si>
  <si>
    <t>Prime cost</t>
  </si>
  <si>
    <t>Offered price</t>
  </si>
  <si>
    <t>Net cost</t>
  </si>
  <si>
    <t>Invention</t>
  </si>
  <si>
    <t xml:space="preserve"> /project</t>
  </si>
  <si>
    <t>Sales/in year or</t>
  </si>
  <si>
    <t>Manufac</t>
  </si>
  <si>
    <t>Delivery</t>
  </si>
  <si>
    <t>Total margin</t>
  </si>
  <si>
    <t>Need for margin %</t>
  </si>
  <si>
    <t>Cost/kpl</t>
  </si>
  <si>
    <t>Cost/pc</t>
  </si>
  <si>
    <t>Annual sales</t>
  </si>
  <si>
    <t>Handling factor</t>
  </si>
  <si>
    <t>Batch handling</t>
  </si>
  <si>
    <t>Batch margin</t>
  </si>
  <si>
    <t>Margin/ hour</t>
  </si>
  <si>
    <t>Pcs in the product</t>
  </si>
  <si>
    <t>Annual margin</t>
  </si>
  <si>
    <t>This is an important factor: How many of this kind of part goes to the product?</t>
  </si>
  <si>
    <t>Work cost total:</t>
  </si>
  <si>
    <t>Author</t>
  </si>
  <si>
    <t>Manuf.batch margin</t>
  </si>
  <si>
    <t xml:space="preserve">Batch handling </t>
  </si>
  <si>
    <t>Needed %</t>
  </si>
  <si>
    <t>Batch marging</t>
  </si>
  <si>
    <t>Floor space (90€/neliö)</t>
  </si>
  <si>
    <t>Subcontracting total:</t>
  </si>
  <si>
    <t>total min</t>
  </si>
  <si>
    <t>Investment</t>
  </si>
  <si>
    <t>Batches/ year</t>
  </si>
  <si>
    <t>€/year</t>
  </si>
  <si>
    <t>Bath marging</t>
  </si>
  <si>
    <t>Storage charges (10%)</t>
  </si>
  <si>
    <t>Floor space (90€/m^2)</t>
  </si>
  <si>
    <t>Pallet(cold/warm 30/60€)</t>
  </si>
  <si>
    <t>ANNUAL COSTS</t>
  </si>
  <si>
    <t>DELIVERY COST PER BATCH</t>
  </si>
  <si>
    <t>Delivery cost total:</t>
  </si>
  <si>
    <t>Annual costs total:</t>
  </si>
  <si>
    <t>Work costs total:</t>
  </si>
  <si>
    <t>Work costs total.</t>
  </si>
  <si>
    <t>Setting 30 min</t>
  </si>
  <si>
    <t>Saw cutting</t>
  </si>
  <si>
    <t>Drilling d14</t>
  </si>
  <si>
    <t>Chamfering</t>
  </si>
  <si>
    <t>Burls</t>
  </si>
  <si>
    <t>Flat steel 6x80</t>
  </si>
  <si>
    <t>Drawing:  3099-02</t>
  </si>
  <si>
    <t>Flat steel 6x80 S235JRG2</t>
  </si>
  <si>
    <t xml:space="preserve">Saw cutting </t>
  </si>
  <si>
    <t>Setting 8 min</t>
  </si>
  <si>
    <t>RB 18 -395</t>
  </si>
  <si>
    <t>Drawing:  3099-11</t>
  </si>
  <si>
    <t>Tube rings</t>
  </si>
  <si>
    <t>25,3x3 -5</t>
  </si>
  <si>
    <t>Setting 5 min</t>
  </si>
  <si>
    <t>Round bar 18</t>
  </si>
  <si>
    <t>Drawing:  3099-04</t>
  </si>
  <si>
    <t>Tube 25,3 x 3</t>
  </si>
  <si>
    <t>Tube 25,3x3 - 260 S235</t>
  </si>
  <si>
    <t>Drawing:  3099-03</t>
  </si>
  <si>
    <t>Belt cleaner belt width 800 mm</t>
  </si>
  <si>
    <t>22.1 2014</t>
  </si>
  <si>
    <t>Drawing:  3101-80</t>
  </si>
  <si>
    <t>Plastic scraper -625</t>
  </si>
  <si>
    <t>Assembly 11 min</t>
  </si>
  <si>
    <t>Transport 5 pcs 25</t>
  </si>
  <si>
    <t>L50x20x4 -750</t>
  </si>
  <si>
    <t>L-bar 40x60x6 -750</t>
  </si>
  <si>
    <t>L-bar 40x60x6 -750 S235</t>
  </si>
  <si>
    <t>Drawing:  3099-05</t>
  </si>
  <si>
    <t>Flat steel 6x50 S235JRG2</t>
  </si>
  <si>
    <t>Setting 12 min</t>
  </si>
  <si>
    <t>Bewelling</t>
  </si>
  <si>
    <t>Setting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</si>
</sst>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\ %"/>
    <numFmt numFmtId="166" formatCode="0.000"/>
    <numFmt numFmtId="167" formatCode="#,##0.0"/>
    <numFmt numFmtId="168" formatCode="d\.m\.yyyy"/>
    <numFmt numFmtId="169" formatCode="#,##0.000"/>
    <numFmt numFmtId="170" formatCode="&quot;Kyllä&quot;;&quot;Kyllä&quot;;&quot;Ei&quot;"/>
    <numFmt numFmtId="171" formatCode="&quot;Tosi&quot;;&quot;Tosi&quot;;&quot;Epätosi&quot;"/>
    <numFmt numFmtId="172" formatCode="&quot;Käytössä&quot;;&quot;Käytössä&quot;;&quot;Ei käytössä&quot;"/>
  </numFmts>
  <fonts count="42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24"/>
      <name val="ITC Officina Sans Std Book"/>
      <family val="3"/>
    </font>
    <font>
      <sz val="10"/>
      <name val="ITC Officina Sans Std Book"/>
      <family val="3"/>
    </font>
    <font>
      <sz val="14"/>
      <name val="ITC Officina Sans Std Book"/>
      <family val="3"/>
    </font>
    <font>
      <sz val="12"/>
      <name val="ITC Officina Sans Std Book"/>
      <family val="3"/>
    </font>
    <font>
      <b/>
      <sz val="10"/>
      <name val="ITC Officina Sans Std Book"/>
      <family val="3"/>
    </font>
    <font>
      <b/>
      <sz val="12"/>
      <name val="ITC Officina Sans Std Book"/>
      <family val="3"/>
    </font>
    <font>
      <b/>
      <sz val="11"/>
      <name val="ITC Officina Sans Std Book"/>
      <family val="3"/>
    </font>
    <font>
      <sz val="9"/>
      <name val="ITC Officina Sans Std Book"/>
      <family val="3"/>
    </font>
    <font>
      <b/>
      <sz val="9"/>
      <name val="ITC Officina Sans Std Book"/>
      <family val="3"/>
    </font>
    <font>
      <sz val="8"/>
      <name val="ITC Officina Sans Std Book"/>
      <family val="3"/>
    </font>
    <font>
      <b/>
      <sz val="8"/>
      <name val="ITC Officina Sans Std Book"/>
      <family val="3"/>
    </font>
    <font>
      <b/>
      <sz val="9"/>
      <color indexed="10"/>
      <name val="ITC Officina Sans Std Book"/>
      <family val="3"/>
    </font>
    <font>
      <sz val="10"/>
      <color indexed="10"/>
      <name val="ITC Officina Sans Std Book"/>
      <family val="3"/>
    </font>
    <font>
      <sz val="8"/>
      <color indexed="10"/>
      <name val="ITC Officina Sans Std Book"/>
      <family val="3"/>
    </font>
    <font>
      <sz val="9"/>
      <color indexed="10"/>
      <name val="ITC Officina Sans Std Book"/>
      <family val="3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24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6" fillId="16" borderId="2" applyNumberFormat="0" applyAlignment="0" applyProtection="0"/>
    <xf numFmtId="0" fontId="27" fillId="0" borderId="3" applyNumberFormat="0" applyFill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7" borderId="2" applyNumberFormat="0" applyAlignment="0" applyProtection="0"/>
    <xf numFmtId="0" fontId="36" fillId="17" borderId="8" applyNumberFormat="0" applyAlignment="0" applyProtection="0"/>
    <xf numFmtId="0" fontId="37" fillId="16" borderId="9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4" fillId="0" borderId="0" xfId="0" applyNumberFormat="1" applyFont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4" fontId="4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 wrapText="1"/>
    </xf>
    <xf numFmtId="4" fontId="10" fillId="0" borderId="17" xfId="0" applyNumberFormat="1" applyFont="1" applyFill="1" applyBorder="1" applyAlignment="1">
      <alignment wrapText="1"/>
    </xf>
    <xf numFmtId="4" fontId="7" fillId="0" borderId="18" xfId="0" applyNumberFormat="1" applyFont="1" applyFill="1" applyBorder="1" applyAlignment="1">
      <alignment wrapText="1"/>
    </xf>
    <xf numFmtId="4" fontId="10" fillId="0" borderId="19" xfId="0" applyNumberFormat="1" applyFont="1" applyFill="1" applyBorder="1" applyAlignment="1">
      <alignment wrapText="1"/>
    </xf>
    <xf numFmtId="165" fontId="10" fillId="0" borderId="19" xfId="0" applyNumberFormat="1" applyFont="1" applyFill="1" applyBorder="1" applyAlignment="1">
      <alignment wrapText="1"/>
    </xf>
    <xf numFmtId="4" fontId="11" fillId="0" borderId="20" xfId="0" applyNumberFormat="1" applyFont="1" applyFill="1" applyBorder="1" applyAlignment="1">
      <alignment wrapText="1"/>
    </xf>
    <xf numFmtId="4" fontId="7" fillId="0" borderId="18" xfId="0" applyNumberFormat="1" applyFont="1" applyFill="1" applyBorder="1" applyAlignment="1">
      <alignment/>
    </xf>
    <xf numFmtId="4" fontId="4" fillId="6" borderId="11" xfId="0" applyNumberFormat="1" applyFont="1" applyFill="1" applyBorder="1" applyAlignment="1">
      <alignment/>
    </xf>
    <xf numFmtId="4" fontId="4" fillId="0" borderId="0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>
      <alignment/>
    </xf>
    <xf numFmtId="3" fontId="11" fillId="18" borderId="21" xfId="0" applyNumberFormat="1" applyFont="1" applyFill="1" applyBorder="1" applyAlignment="1" applyProtection="1">
      <alignment/>
      <protection locked="0"/>
    </xf>
    <xf numFmtId="4" fontId="4" fillId="18" borderId="11" xfId="0" applyNumberFormat="1" applyFont="1" applyFill="1" applyBorder="1" applyAlignment="1" applyProtection="1">
      <alignment/>
      <protection locked="0"/>
    </xf>
    <xf numFmtId="0" fontId="4" fillId="18" borderId="11" xfId="0" applyFont="1" applyFill="1" applyBorder="1" applyAlignment="1" applyProtection="1">
      <alignment/>
      <protection locked="0"/>
    </xf>
    <xf numFmtId="4" fontId="12" fillId="0" borderId="22" xfId="0" applyNumberFormat="1" applyFont="1" applyFill="1" applyBorder="1" applyAlignment="1">
      <alignment wrapText="1"/>
    </xf>
    <xf numFmtId="4" fontId="12" fillId="0" borderId="23" xfId="0" applyNumberFormat="1" applyFont="1" applyFill="1" applyBorder="1" applyAlignment="1">
      <alignment wrapText="1"/>
    </xf>
    <xf numFmtId="4" fontId="12" fillId="0" borderId="24" xfId="0" applyNumberFormat="1" applyFont="1" applyFill="1" applyBorder="1" applyAlignment="1">
      <alignment wrapText="1"/>
    </xf>
    <xf numFmtId="165" fontId="12" fillId="0" borderId="23" xfId="0" applyNumberFormat="1" applyFont="1" applyFill="1" applyBorder="1" applyAlignment="1">
      <alignment wrapText="1"/>
    </xf>
    <xf numFmtId="4" fontId="13" fillId="0" borderId="25" xfId="0" applyNumberFormat="1" applyFont="1" applyFill="1" applyBorder="1" applyAlignment="1">
      <alignment wrapText="1"/>
    </xf>
    <xf numFmtId="4" fontId="4" fillId="6" borderId="11" xfId="0" applyNumberFormat="1" applyFont="1" applyFill="1" applyBorder="1" applyAlignment="1" applyProtection="1">
      <alignment/>
      <protection locked="0"/>
    </xf>
    <xf numFmtId="165" fontId="12" fillId="6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12" fillId="0" borderId="19" xfId="0" applyNumberFormat="1" applyFont="1" applyFill="1" applyBorder="1" applyAlignment="1">
      <alignment wrapText="1"/>
    </xf>
    <xf numFmtId="165" fontId="12" fillId="0" borderId="19" xfId="0" applyNumberFormat="1" applyFont="1" applyFill="1" applyBorder="1" applyAlignment="1">
      <alignment wrapText="1"/>
    </xf>
    <xf numFmtId="4" fontId="13" fillId="0" borderId="20" xfId="0" applyNumberFormat="1" applyFont="1" applyFill="1" applyBorder="1" applyAlignment="1">
      <alignment wrapText="1"/>
    </xf>
    <xf numFmtId="4" fontId="4" fillId="6" borderId="26" xfId="0" applyNumberFormat="1" applyFont="1" applyFill="1" applyBorder="1" applyAlignment="1">
      <alignment/>
    </xf>
    <xf numFmtId="165" fontId="12" fillId="6" borderId="27" xfId="0" applyNumberFormat="1" applyFont="1" applyFill="1" applyBorder="1" applyAlignment="1">
      <alignment horizontal="right" wrapText="1"/>
    </xf>
    <xf numFmtId="165" fontId="4" fillId="18" borderId="28" xfId="0" applyNumberFormat="1" applyFont="1" applyFill="1" applyBorder="1" applyAlignment="1" applyProtection="1">
      <alignment/>
      <protection locked="0"/>
    </xf>
    <xf numFmtId="3" fontId="4" fillId="18" borderId="11" xfId="0" applyNumberFormat="1" applyFont="1" applyFill="1" applyBorder="1" applyAlignment="1" applyProtection="1">
      <alignment/>
      <protection locked="0"/>
    </xf>
    <xf numFmtId="3" fontId="12" fillId="0" borderId="23" xfId="0" applyNumberFormat="1" applyFont="1" applyFill="1" applyBorder="1" applyAlignment="1">
      <alignment wrapText="1"/>
    </xf>
    <xf numFmtId="3" fontId="4" fillId="6" borderId="11" xfId="0" applyNumberFormat="1" applyFont="1" applyFill="1" applyBorder="1" applyAlignment="1" applyProtection="1">
      <alignment/>
      <protection locked="0"/>
    </xf>
    <xf numFmtId="49" fontId="14" fillId="2" borderId="0" xfId="0" applyNumberFormat="1" applyFont="1" applyFill="1" applyBorder="1" applyAlignment="1" applyProtection="1">
      <alignment wrapText="1"/>
      <protection locked="0"/>
    </xf>
    <xf numFmtId="3" fontId="4" fillId="6" borderId="11" xfId="0" applyNumberFormat="1" applyFont="1" applyFill="1" applyBorder="1" applyAlignment="1" applyProtection="1">
      <alignment/>
      <protection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Alignment="1" applyProtection="1">
      <alignment/>
      <protection locked="0"/>
    </xf>
    <xf numFmtId="4" fontId="15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165" fontId="7" fillId="0" borderId="0" xfId="54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3" fontId="4" fillId="0" borderId="16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/>
    </xf>
    <xf numFmtId="4" fontId="17" fillId="0" borderId="19" xfId="0" applyNumberFormat="1" applyFont="1" applyFill="1" applyBorder="1" applyAlignment="1">
      <alignment wrapText="1"/>
    </xf>
    <xf numFmtId="4" fontId="12" fillId="6" borderId="29" xfId="0" applyNumberFormat="1" applyFont="1" applyFill="1" applyBorder="1" applyAlignment="1">
      <alignment horizontal="left"/>
    </xf>
    <xf numFmtId="165" fontId="12" fillId="6" borderId="30" xfId="0" applyNumberFormat="1" applyFont="1" applyFill="1" applyBorder="1" applyAlignment="1">
      <alignment/>
    </xf>
    <xf numFmtId="4" fontId="7" fillId="6" borderId="30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" fontId="4" fillId="0" borderId="32" xfId="0" applyNumberFormat="1" applyFont="1" applyFill="1" applyBorder="1" applyAlignment="1">
      <alignment/>
    </xf>
    <xf numFmtId="4" fontId="4" fillId="0" borderId="31" xfId="0" applyNumberFormat="1" applyFont="1" applyFill="1" applyBorder="1" applyAlignment="1">
      <alignment/>
    </xf>
    <xf numFmtId="165" fontId="4" fillId="0" borderId="14" xfId="0" applyNumberFormat="1" applyFont="1" applyBorder="1" applyAlignment="1">
      <alignment/>
    </xf>
    <xf numFmtId="4" fontId="7" fillId="0" borderId="33" xfId="0" applyNumberFormat="1" applyFont="1" applyFill="1" applyBorder="1" applyAlignment="1">
      <alignment/>
    </xf>
    <xf numFmtId="4" fontId="4" fillId="0" borderId="34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4" fillId="18" borderId="35" xfId="0" applyNumberFormat="1" applyFont="1" applyFill="1" applyBorder="1" applyAlignment="1" applyProtection="1">
      <alignment/>
      <protection locked="0"/>
    </xf>
    <xf numFmtId="0" fontId="4" fillId="18" borderId="35" xfId="0" applyFont="1" applyFill="1" applyBorder="1" applyAlignment="1" applyProtection="1">
      <alignment/>
      <protection locked="0"/>
    </xf>
    <xf numFmtId="4" fontId="7" fillId="18" borderId="35" xfId="0" applyNumberFormat="1" applyFont="1" applyFill="1" applyBorder="1" applyAlignment="1" applyProtection="1">
      <alignment/>
      <protection locked="0"/>
    </xf>
    <xf numFmtId="4" fontId="7" fillId="0" borderId="35" xfId="0" applyNumberFormat="1" applyFont="1" applyBorder="1" applyAlignment="1">
      <alignment/>
    </xf>
    <xf numFmtId="4" fontId="9" fillId="0" borderId="36" xfId="0" applyNumberFormat="1" applyFont="1" applyBorder="1" applyAlignment="1">
      <alignment/>
    </xf>
    <xf numFmtId="4" fontId="9" fillId="0" borderId="37" xfId="0" applyNumberFormat="1" applyFont="1" applyBorder="1" applyAlignment="1">
      <alignment/>
    </xf>
    <xf numFmtId="4" fontId="9" fillId="0" borderId="38" xfId="0" applyNumberFormat="1" applyFont="1" applyBorder="1" applyAlignment="1">
      <alignment/>
    </xf>
    <xf numFmtId="4" fontId="9" fillId="0" borderId="39" xfId="0" applyNumberFormat="1" applyFont="1" applyBorder="1" applyAlignment="1">
      <alignment/>
    </xf>
    <xf numFmtId="4" fontId="9" fillId="0" borderId="40" xfId="0" applyNumberFormat="1" applyFont="1" applyBorder="1" applyAlignment="1">
      <alignment/>
    </xf>
    <xf numFmtId="4" fontId="9" fillId="0" borderId="41" xfId="0" applyNumberFormat="1" applyFont="1" applyBorder="1" applyAlignment="1">
      <alignment/>
    </xf>
    <xf numFmtId="4" fontId="9" fillId="0" borderId="42" xfId="0" applyNumberFormat="1" applyFont="1" applyBorder="1" applyAlignment="1">
      <alignment/>
    </xf>
    <xf numFmtId="4" fontId="11" fillId="6" borderId="11" xfId="0" applyNumberFormat="1" applyFont="1" applyFill="1" applyBorder="1" applyAlignment="1">
      <alignment/>
    </xf>
    <xf numFmtId="4" fontId="11" fillId="6" borderId="26" xfId="0" applyNumberFormat="1" applyFont="1" applyFill="1" applyBorder="1" applyAlignment="1">
      <alignment/>
    </xf>
    <xf numFmtId="3" fontId="11" fillId="6" borderId="11" xfId="0" applyNumberFormat="1" applyFont="1" applyFill="1" applyBorder="1" applyAlignment="1">
      <alignment/>
    </xf>
    <xf numFmtId="0" fontId="18" fillId="9" borderId="0" xfId="0" applyFont="1" applyFill="1" applyAlignment="1">
      <alignment/>
    </xf>
    <xf numFmtId="4" fontId="12" fillId="0" borderId="0" xfId="0" applyNumberFormat="1" applyFont="1" applyBorder="1" applyAlignment="1">
      <alignment wrapText="1"/>
    </xf>
    <xf numFmtId="4" fontId="4" fillId="2" borderId="11" xfId="0" applyNumberFormat="1" applyFont="1" applyFill="1" applyBorder="1" applyAlignment="1">
      <alignment/>
    </xf>
    <xf numFmtId="4" fontId="4" fillId="2" borderId="26" xfId="0" applyNumberFormat="1" applyFont="1" applyFill="1" applyBorder="1" applyAlignment="1">
      <alignment/>
    </xf>
    <xf numFmtId="165" fontId="12" fillId="2" borderId="11" xfId="0" applyNumberFormat="1" applyFont="1" applyFill="1" applyBorder="1" applyAlignment="1">
      <alignment horizontal="right"/>
    </xf>
    <xf numFmtId="4" fontId="12" fillId="2" borderId="29" xfId="0" applyNumberFormat="1" applyFont="1" applyFill="1" applyBorder="1" applyAlignment="1">
      <alignment horizontal="left"/>
    </xf>
    <xf numFmtId="165" fontId="12" fillId="2" borderId="27" xfId="0" applyNumberFormat="1" applyFont="1" applyFill="1" applyBorder="1" applyAlignment="1">
      <alignment horizontal="right" wrapText="1"/>
    </xf>
    <xf numFmtId="165" fontId="12" fillId="2" borderId="30" xfId="0" applyNumberFormat="1" applyFont="1" applyFill="1" applyBorder="1" applyAlignment="1">
      <alignment horizontal="right"/>
    </xf>
    <xf numFmtId="165" fontId="12" fillId="2" borderId="43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 applyProtection="1">
      <alignment/>
      <protection/>
    </xf>
    <xf numFmtId="165" fontId="4" fillId="2" borderId="11" xfId="0" applyNumberFormat="1" applyFont="1" applyFill="1" applyBorder="1" applyAlignment="1">
      <alignment/>
    </xf>
    <xf numFmtId="4" fontId="4" fillId="2" borderId="29" xfId="0" applyNumberFormat="1" applyFont="1" applyFill="1" applyBorder="1" applyAlignment="1">
      <alignment/>
    </xf>
    <xf numFmtId="165" fontId="12" fillId="2" borderId="30" xfId="0" applyNumberFormat="1" applyFont="1" applyFill="1" applyBorder="1" applyAlignment="1">
      <alignment/>
    </xf>
    <xf numFmtId="3" fontId="4" fillId="2" borderId="11" xfId="0" applyNumberFormat="1" applyFont="1" applyFill="1" applyBorder="1" applyAlignment="1" applyProtection="1">
      <alignment/>
      <protection locked="0"/>
    </xf>
    <xf numFmtId="4" fontId="4" fillId="2" borderId="11" xfId="0" applyNumberFormat="1" applyFont="1" applyFill="1" applyBorder="1" applyAlignment="1" applyProtection="1">
      <alignment/>
      <protection locked="0"/>
    </xf>
    <xf numFmtId="4" fontId="4" fillId="2" borderId="44" xfId="0" applyNumberFormat="1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3" fontId="4" fillId="2" borderId="16" xfId="0" applyNumberFormat="1" applyFont="1" applyFill="1" applyBorder="1" applyAlignment="1">
      <alignment horizontal="center"/>
    </xf>
    <xf numFmtId="4" fontId="4" fillId="2" borderId="16" xfId="0" applyNumberFormat="1" applyFont="1" applyFill="1" applyBorder="1" applyAlignment="1">
      <alignment/>
    </xf>
    <xf numFmtId="165" fontId="4" fillId="2" borderId="16" xfId="0" applyNumberFormat="1" applyFont="1" applyFill="1" applyBorder="1" applyAlignment="1">
      <alignment/>
    </xf>
    <xf numFmtId="4" fontId="7" fillId="2" borderId="45" xfId="0" applyNumberFormat="1" applyFont="1" applyFill="1" applyBorder="1" applyAlignment="1">
      <alignment/>
    </xf>
    <xf numFmtId="4" fontId="7" fillId="0" borderId="41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 applyProtection="1">
      <alignment/>
      <protection locked="0"/>
    </xf>
    <xf numFmtId="3" fontId="4" fillId="2" borderId="11" xfId="0" applyNumberFormat="1" applyFont="1" applyFill="1" applyBorder="1" applyAlignment="1" applyProtection="1">
      <alignment/>
      <protection/>
    </xf>
    <xf numFmtId="4" fontId="7" fillId="2" borderId="16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11" fillId="2" borderId="46" xfId="0" applyNumberFormat="1" applyFont="1" applyFill="1" applyBorder="1" applyAlignment="1" applyProtection="1">
      <alignment/>
      <protection locked="0"/>
    </xf>
    <xf numFmtId="4" fontId="7" fillId="0" borderId="47" xfId="0" applyNumberFormat="1" applyFont="1" applyBorder="1" applyAlignment="1">
      <alignment/>
    </xf>
    <xf numFmtId="4" fontId="11" fillId="2" borderId="48" xfId="0" applyNumberFormat="1" applyFont="1" applyFill="1" applyBorder="1" applyAlignment="1">
      <alignment/>
    </xf>
    <xf numFmtId="3" fontId="11" fillId="2" borderId="48" xfId="0" applyNumberFormat="1" applyFont="1" applyFill="1" applyBorder="1" applyAlignment="1">
      <alignment/>
    </xf>
    <xf numFmtId="4" fontId="11" fillId="14" borderId="48" xfId="0" applyNumberFormat="1" applyFont="1" applyFill="1" applyBorder="1" applyAlignment="1">
      <alignment/>
    </xf>
    <xf numFmtId="4" fontId="11" fillId="2" borderId="49" xfId="0" applyNumberFormat="1" applyFont="1" applyFill="1" applyBorder="1" applyAlignment="1">
      <alignment/>
    </xf>
    <xf numFmtId="4" fontId="7" fillId="2" borderId="50" xfId="0" applyNumberFormat="1" applyFont="1" applyFill="1" applyBorder="1" applyAlignment="1">
      <alignment/>
    </xf>
    <xf numFmtId="4" fontId="4" fillId="6" borderId="12" xfId="0" applyNumberFormat="1" applyFont="1" applyFill="1" applyBorder="1" applyAlignment="1">
      <alignment/>
    </xf>
    <xf numFmtId="4" fontId="4" fillId="6" borderId="0" xfId="0" applyNumberFormat="1" applyFont="1" applyFill="1" applyBorder="1" applyAlignment="1">
      <alignment/>
    </xf>
    <xf numFmtId="4" fontId="4" fillId="6" borderId="0" xfId="54" applyNumberFormat="1" applyFont="1" applyFill="1" applyBorder="1" applyAlignment="1">
      <alignment/>
    </xf>
    <xf numFmtId="4" fontId="4" fillId="6" borderId="41" xfId="0" applyNumberFormat="1" applyFont="1" applyFill="1" applyBorder="1" applyAlignment="1">
      <alignment/>
    </xf>
    <xf numFmtId="4" fontId="7" fillId="6" borderId="12" xfId="0" applyNumberFormat="1" applyFont="1" applyFill="1" applyBorder="1" applyAlignment="1">
      <alignment/>
    </xf>
    <xf numFmtId="4" fontId="4" fillId="6" borderId="51" xfId="0" applyNumberFormat="1" applyFont="1" applyFill="1" applyBorder="1" applyAlignment="1">
      <alignment/>
    </xf>
    <xf numFmtId="165" fontId="4" fillId="6" borderId="0" xfId="0" applyNumberFormat="1" applyFont="1" applyFill="1" applyBorder="1" applyAlignment="1">
      <alignment/>
    </xf>
    <xf numFmtId="4" fontId="7" fillId="6" borderId="52" xfId="0" applyNumberFormat="1" applyFont="1" applyFill="1" applyBorder="1" applyAlignment="1">
      <alignment/>
    </xf>
    <xf numFmtId="4" fontId="4" fillId="6" borderId="25" xfId="0" applyNumberFormat="1" applyFont="1" applyFill="1" applyBorder="1" applyAlignment="1">
      <alignment/>
    </xf>
    <xf numFmtId="4" fontId="4" fillId="6" borderId="41" xfId="0" applyNumberFormat="1" applyFont="1" applyFill="1" applyBorder="1" applyAlignment="1" applyProtection="1">
      <alignment/>
      <protection locked="0"/>
    </xf>
    <xf numFmtId="9" fontId="4" fillId="6" borderId="41" xfId="54" applyFont="1" applyFill="1" applyBorder="1" applyAlignment="1" applyProtection="1">
      <alignment/>
      <protection locked="0"/>
    </xf>
    <xf numFmtId="4" fontId="15" fillId="6" borderId="41" xfId="0" applyNumberFormat="1" applyFont="1" applyFill="1" applyBorder="1" applyAlignment="1" applyProtection="1">
      <alignment/>
      <protection locked="0"/>
    </xf>
    <xf numFmtId="9" fontId="15" fillId="6" borderId="41" xfId="54" applyFont="1" applyFill="1" applyBorder="1" applyAlignment="1" applyProtection="1">
      <alignment/>
      <protection locked="0"/>
    </xf>
    <xf numFmtId="4" fontId="4" fillId="6" borderId="13" xfId="0" applyNumberFormat="1" applyFont="1" applyFill="1" applyBorder="1" applyAlignment="1">
      <alignment/>
    </xf>
    <xf numFmtId="4" fontId="4" fillId="6" borderId="14" xfId="0" applyNumberFormat="1" applyFont="1" applyFill="1" applyBorder="1" applyAlignment="1">
      <alignment/>
    </xf>
    <xf numFmtId="4" fontId="4" fillId="6" borderId="14" xfId="54" applyNumberFormat="1" applyFont="1" applyFill="1" applyBorder="1" applyAlignment="1">
      <alignment/>
    </xf>
    <xf numFmtId="4" fontId="4" fillId="6" borderId="42" xfId="0" applyNumberFormat="1" applyFont="1" applyFill="1" applyBorder="1" applyAlignment="1">
      <alignment/>
    </xf>
    <xf numFmtId="4" fontId="15" fillId="6" borderId="0" xfId="0" applyNumberFormat="1" applyFont="1" applyFill="1" applyBorder="1" applyAlignment="1">
      <alignment/>
    </xf>
    <xf numFmtId="4" fontId="4" fillId="6" borderId="21" xfId="0" applyNumberFormat="1" applyFont="1" applyFill="1" applyBorder="1" applyAlignment="1" applyProtection="1">
      <alignment/>
      <protection locked="0"/>
    </xf>
    <xf numFmtId="4" fontId="9" fillId="0" borderId="13" xfId="0" applyNumberFormat="1" applyFont="1" applyBorder="1" applyAlignment="1">
      <alignment/>
    </xf>
    <xf numFmtId="4" fontId="7" fillId="0" borderId="38" xfId="0" applyNumberFormat="1" applyFont="1" applyFill="1" applyBorder="1" applyAlignment="1">
      <alignment/>
    </xf>
    <xf numFmtId="4" fontId="11" fillId="2" borderId="53" xfId="0" applyNumberFormat="1" applyFont="1" applyFill="1" applyBorder="1" applyAlignment="1">
      <alignment/>
    </xf>
    <xf numFmtId="4" fontId="11" fillId="2" borderId="54" xfId="0" applyNumberFormat="1" applyFont="1" applyFill="1" applyBorder="1" applyAlignment="1">
      <alignment/>
    </xf>
    <xf numFmtId="4" fontId="7" fillId="2" borderId="40" xfId="0" applyNumberFormat="1" applyFont="1" applyFill="1" applyBorder="1" applyAlignment="1">
      <alignment/>
    </xf>
    <xf numFmtId="4" fontId="7" fillId="0" borderId="38" xfId="0" applyNumberFormat="1" applyFont="1" applyBorder="1" applyAlignment="1">
      <alignment/>
    </xf>
    <xf numFmtId="4" fontId="11" fillId="2" borderId="53" xfId="0" applyNumberFormat="1" applyFont="1" applyFill="1" applyBorder="1" applyAlignment="1" applyProtection="1">
      <alignment/>
      <protection/>
    </xf>
    <xf numFmtId="3" fontId="11" fillId="2" borderId="53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55" xfId="0" applyNumberFormat="1" applyFont="1" applyBorder="1" applyAlignment="1">
      <alignment/>
    </xf>
    <xf numFmtId="4" fontId="4" fillId="0" borderId="56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4" fontId="4" fillId="0" borderId="45" xfId="0" applyNumberFormat="1" applyFont="1" applyFill="1" applyBorder="1" applyAlignment="1">
      <alignment/>
    </xf>
    <xf numFmtId="4" fontId="4" fillId="0" borderId="56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7" fillId="0" borderId="15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165" fontId="4" fillId="0" borderId="5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4" fontId="11" fillId="14" borderId="53" xfId="0" applyNumberFormat="1" applyFont="1" applyFill="1" applyBorder="1" applyAlignment="1" applyProtection="1">
      <alignment/>
      <protection/>
    </xf>
    <xf numFmtId="4" fontId="11" fillId="14" borderId="53" xfId="0" applyNumberFormat="1" applyFont="1" applyFill="1" applyBorder="1" applyAlignment="1">
      <alignment/>
    </xf>
    <xf numFmtId="4" fontId="4" fillId="0" borderId="57" xfId="0" applyNumberFormat="1" applyFont="1" applyBorder="1" applyAlignment="1">
      <alignment/>
    </xf>
    <xf numFmtId="4" fontId="12" fillId="0" borderId="58" xfId="0" applyNumberFormat="1" applyFont="1" applyFill="1" applyBorder="1" applyAlignment="1">
      <alignment wrapText="1"/>
    </xf>
    <xf numFmtId="4" fontId="13" fillId="0" borderId="46" xfId="0" applyNumberFormat="1" applyFont="1" applyFill="1" applyBorder="1" applyAlignment="1">
      <alignment wrapText="1"/>
    </xf>
    <xf numFmtId="4" fontId="4" fillId="0" borderId="58" xfId="0" applyNumberFormat="1" applyFont="1" applyBorder="1" applyAlignment="1">
      <alignment/>
    </xf>
    <xf numFmtId="4" fontId="4" fillId="6" borderId="15" xfId="0" applyNumberFormat="1" applyFont="1" applyFill="1" applyBorder="1" applyAlignment="1">
      <alignment/>
    </xf>
    <xf numFmtId="4" fontId="4" fillId="6" borderId="56" xfId="0" applyNumberFormat="1" applyFont="1" applyFill="1" applyBorder="1" applyAlignment="1">
      <alignment/>
    </xf>
    <xf numFmtId="4" fontId="15" fillId="6" borderId="56" xfId="0" applyNumberFormat="1" applyFont="1" applyFill="1" applyBorder="1" applyAlignment="1">
      <alignment/>
    </xf>
    <xf numFmtId="4" fontId="4" fillId="6" borderId="56" xfId="54" applyNumberFormat="1" applyFont="1" applyFill="1" applyBorder="1" applyAlignment="1">
      <alignment/>
    </xf>
    <xf numFmtId="4" fontId="4" fillId="6" borderId="59" xfId="0" applyNumberFormat="1" applyFont="1" applyFill="1" applyBorder="1" applyAlignment="1">
      <alignment/>
    </xf>
    <xf numFmtId="4" fontId="4" fillId="6" borderId="27" xfId="0" applyNumberFormat="1" applyFont="1" applyFill="1" applyBorder="1" applyAlignment="1">
      <alignment/>
    </xf>
    <xf numFmtId="4" fontId="4" fillId="6" borderId="60" xfId="0" applyNumberFormat="1" applyFont="1" applyFill="1" applyBorder="1" applyAlignment="1">
      <alignment/>
    </xf>
    <xf numFmtId="4" fontId="4" fillId="6" borderId="60" xfId="0" applyNumberFormat="1" applyFont="1" applyFill="1" applyBorder="1" applyAlignment="1" applyProtection="1">
      <alignment/>
      <protection locked="0"/>
    </xf>
    <xf numFmtId="9" fontId="4" fillId="6" borderId="60" xfId="54" applyFont="1" applyFill="1" applyBorder="1" applyAlignment="1" applyProtection="1">
      <alignment/>
      <protection locked="0"/>
    </xf>
    <xf numFmtId="4" fontId="11" fillId="2" borderId="61" xfId="0" applyNumberFormat="1" applyFont="1" applyFill="1" applyBorder="1" applyAlignment="1" applyProtection="1">
      <alignment/>
      <protection locked="0"/>
    </xf>
    <xf numFmtId="4" fontId="10" fillId="2" borderId="25" xfId="0" applyNumberFormat="1" applyFont="1" applyFill="1" applyBorder="1" applyAlignment="1">
      <alignment/>
    </xf>
    <xf numFmtId="4" fontId="11" fillId="2" borderId="27" xfId="0" applyNumberFormat="1" applyFont="1" applyFill="1" applyBorder="1" applyAlignment="1" applyProtection="1">
      <alignment/>
      <protection locked="0"/>
    </xf>
    <xf numFmtId="4" fontId="11" fillId="2" borderId="42" xfId="0" applyNumberFormat="1" applyFont="1" applyFill="1" applyBorder="1" applyAlignment="1">
      <alignment/>
    </xf>
    <xf numFmtId="4" fontId="4" fillId="6" borderId="12" xfId="0" applyNumberFormat="1" applyFont="1" applyFill="1" applyBorder="1" applyAlignment="1" applyProtection="1">
      <alignment/>
      <protection locked="0"/>
    </xf>
    <xf numFmtId="4" fontId="4" fillId="2" borderId="38" xfId="0" applyNumberFormat="1" applyFont="1" applyFill="1" applyBorder="1" applyAlignment="1" applyProtection="1">
      <alignment/>
      <protection locked="0"/>
    </xf>
    <xf numFmtId="4" fontId="4" fillId="2" borderId="53" xfId="0" applyNumberFormat="1" applyFont="1" applyFill="1" applyBorder="1" applyAlignment="1" applyProtection="1">
      <alignment/>
      <protection locked="0"/>
    </xf>
    <xf numFmtId="9" fontId="4" fillId="6" borderId="12" xfId="54" applyFont="1" applyFill="1" applyBorder="1" applyAlignment="1" applyProtection="1">
      <alignment/>
      <protection locked="0"/>
    </xf>
    <xf numFmtId="4" fontId="4" fillId="18" borderId="12" xfId="0" applyNumberFormat="1" applyFont="1" applyFill="1" applyBorder="1" applyAlignment="1" applyProtection="1">
      <alignment/>
      <protection locked="0"/>
    </xf>
    <xf numFmtId="4" fontId="7" fillId="0" borderId="13" xfId="0" applyNumberFormat="1" applyFont="1" applyFill="1" applyBorder="1" applyAlignment="1">
      <alignment/>
    </xf>
    <xf numFmtId="4" fontId="11" fillId="2" borderId="31" xfId="0" applyNumberFormat="1" applyFont="1" applyFill="1" applyBorder="1" applyAlignment="1">
      <alignment/>
    </xf>
    <xf numFmtId="3" fontId="11" fillId="15" borderId="62" xfId="0" applyNumberFormat="1" applyFont="1" applyFill="1" applyBorder="1" applyAlignment="1" applyProtection="1">
      <alignment/>
      <protection locked="0"/>
    </xf>
    <xf numFmtId="3" fontId="11" fillId="15" borderId="28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4" fontId="7" fillId="15" borderId="45" xfId="0" applyNumberFormat="1" applyFont="1" applyFill="1" applyBorder="1" applyAlignment="1">
      <alignment/>
    </xf>
    <xf numFmtId="4" fontId="4" fillId="15" borderId="11" xfId="0" applyNumberFormat="1" applyFont="1" applyFill="1" applyBorder="1" applyAlignment="1" applyProtection="1">
      <alignment/>
      <protection locked="0"/>
    </xf>
    <xf numFmtId="166" fontId="4" fillId="15" borderId="11" xfId="0" applyNumberFormat="1" applyFont="1" applyFill="1" applyBorder="1" applyAlignment="1" applyProtection="1">
      <alignment/>
      <protection locked="0"/>
    </xf>
    <xf numFmtId="0" fontId="4" fillId="15" borderId="11" xfId="0" applyFont="1" applyFill="1" applyBorder="1" applyAlignment="1" applyProtection="1">
      <alignment/>
      <protection locked="0"/>
    </xf>
    <xf numFmtId="165" fontId="4" fillId="15" borderId="28" xfId="0" applyNumberFormat="1" applyFont="1" applyFill="1" applyBorder="1" applyAlignment="1" applyProtection="1">
      <alignment/>
      <protection locked="0"/>
    </xf>
    <xf numFmtId="165" fontId="4" fillId="15" borderId="63" xfId="0" applyNumberFormat="1" applyFont="1" applyFill="1" applyBorder="1" applyAlignment="1" applyProtection="1">
      <alignment/>
      <protection locked="0"/>
    </xf>
    <xf numFmtId="3" fontId="4" fillId="15" borderId="11" xfId="0" applyNumberFormat="1" applyFont="1" applyFill="1" applyBorder="1" applyAlignment="1" applyProtection="1">
      <alignment/>
      <protection locked="0"/>
    </xf>
    <xf numFmtId="3" fontId="11" fillId="15" borderId="33" xfId="0" applyNumberFormat="1" applyFont="1" applyFill="1" applyBorder="1" applyAlignment="1" applyProtection="1">
      <alignment/>
      <protection locked="0"/>
    </xf>
    <xf numFmtId="3" fontId="11" fillId="15" borderId="32" xfId="0" applyNumberFormat="1" applyFont="1" applyFill="1" applyBorder="1" applyAlignment="1" applyProtection="1">
      <alignment/>
      <protection locked="0"/>
    </xf>
    <xf numFmtId="4" fontId="11" fillId="2" borderId="64" xfId="0" applyNumberFormat="1" applyFont="1" applyFill="1" applyBorder="1" applyAlignment="1" applyProtection="1">
      <alignment/>
      <protection locked="0"/>
    </xf>
    <xf numFmtId="3" fontId="11" fillId="18" borderId="13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Alignment="1">
      <alignment/>
    </xf>
    <xf numFmtId="4" fontId="4" fillId="6" borderId="27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21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2" borderId="65" xfId="0" applyNumberFormat="1" applyFont="1" applyFill="1" applyBorder="1" applyAlignment="1" applyProtection="1">
      <alignment/>
      <protection locked="0"/>
    </xf>
    <xf numFmtId="10" fontId="4" fillId="15" borderId="63" xfId="0" applyNumberFormat="1" applyFont="1" applyFill="1" applyBorder="1" applyAlignment="1" applyProtection="1">
      <alignment/>
      <protection locked="0"/>
    </xf>
    <xf numFmtId="4" fontId="12" fillId="0" borderId="19" xfId="0" applyNumberFormat="1" applyFont="1" applyFill="1" applyBorder="1" applyAlignment="1">
      <alignment horizontal="center" wrapText="1"/>
    </xf>
    <xf numFmtId="4" fontId="12" fillId="0" borderId="23" xfId="0" applyNumberFormat="1" applyFont="1" applyFill="1" applyBorder="1" applyAlignment="1">
      <alignment horizontal="center" wrapText="1"/>
    </xf>
    <xf numFmtId="4" fontId="12" fillId="0" borderId="24" xfId="0" applyNumberFormat="1" applyFont="1" applyFill="1" applyBorder="1" applyAlignment="1">
      <alignment horizontal="center" wrapText="1"/>
    </xf>
    <xf numFmtId="4" fontId="12" fillId="0" borderId="22" xfId="0" applyNumberFormat="1" applyFont="1" applyFill="1" applyBorder="1" applyAlignment="1">
      <alignment horizontal="center" wrapText="1"/>
    </xf>
    <xf numFmtId="4" fontId="10" fillId="0" borderId="23" xfId="0" applyNumberFormat="1" applyFont="1" applyFill="1" applyBorder="1" applyAlignment="1">
      <alignment horizontal="center" wrapText="1"/>
    </xf>
    <xf numFmtId="3" fontId="12" fillId="0" borderId="23" xfId="0" applyNumberFormat="1" applyFont="1" applyFill="1" applyBorder="1" applyAlignment="1">
      <alignment horizontal="center" wrapText="1"/>
    </xf>
    <xf numFmtId="4" fontId="7" fillId="0" borderId="13" xfId="0" applyNumberFormat="1" applyFont="1" applyBorder="1" applyAlignment="1">
      <alignment horizontal="right"/>
    </xf>
    <xf numFmtId="4" fontId="10" fillId="0" borderId="19" xfId="0" applyNumberFormat="1" applyFont="1" applyFill="1" applyBorder="1" applyAlignment="1">
      <alignment horizontal="center" wrapText="1"/>
    </xf>
    <xf numFmtId="4" fontId="12" fillId="0" borderId="58" xfId="0" applyNumberFormat="1" applyFont="1" applyFill="1" applyBorder="1" applyAlignment="1">
      <alignment horizontal="center" wrapText="1"/>
    </xf>
    <xf numFmtId="165" fontId="10" fillId="0" borderId="19" xfId="0" applyNumberFormat="1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 wrapText="1"/>
    </xf>
    <xf numFmtId="4" fontId="11" fillId="0" borderId="41" xfId="0" applyNumberFormat="1" applyFont="1" applyFill="1" applyBorder="1" applyAlignment="1">
      <alignment horizontal="center" wrapText="1"/>
    </xf>
    <xf numFmtId="3" fontId="11" fillId="15" borderId="21" xfId="0" applyNumberFormat="1" applyFont="1" applyFill="1" applyBorder="1" applyAlignment="1" applyProtection="1">
      <alignment horizontal="center"/>
      <protection locked="0"/>
    </xf>
    <xf numFmtId="4" fontId="4" fillId="6" borderId="0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 applyProtection="1">
      <alignment horizontal="center"/>
      <protection locked="0"/>
    </xf>
    <xf numFmtId="3" fontId="4" fillId="15" borderId="66" xfId="0" applyNumberFormat="1" applyFont="1" applyFill="1" applyBorder="1" applyAlignment="1" applyProtection="1">
      <alignment horizontal="center"/>
      <protection locked="0"/>
    </xf>
    <xf numFmtId="3" fontId="4" fillId="15" borderId="11" xfId="0" applyNumberFormat="1" applyFont="1" applyFill="1" applyBorder="1" applyAlignment="1" applyProtection="1">
      <alignment horizontal="center"/>
      <protection locked="0"/>
    </xf>
    <xf numFmtId="4" fontId="4" fillId="18" borderId="35" xfId="0" applyNumberFormat="1" applyFont="1" applyFill="1" applyBorder="1" applyAlignment="1" applyProtection="1">
      <alignment/>
      <protection locked="0"/>
    </xf>
    <xf numFmtId="49" fontId="14" fillId="2" borderId="18" xfId="0" applyNumberFormat="1" applyFont="1" applyFill="1" applyBorder="1" applyAlignment="1" applyProtection="1">
      <alignment wrapText="1"/>
      <protection locked="0"/>
    </xf>
    <xf numFmtId="49" fontId="14" fillId="2" borderId="25" xfId="0" applyNumberFormat="1" applyFont="1" applyFill="1" applyBorder="1" applyAlignment="1" applyProtection="1">
      <alignment wrapText="1"/>
      <protection locked="0"/>
    </xf>
    <xf numFmtId="49" fontId="14" fillId="2" borderId="13" xfId="0" applyNumberFormat="1" applyFont="1" applyFill="1" applyBorder="1" applyAlignment="1" applyProtection="1">
      <alignment wrapText="1"/>
      <protection locked="0"/>
    </xf>
    <xf numFmtId="49" fontId="14" fillId="2" borderId="42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4" fontId="9" fillId="0" borderId="57" xfId="0" applyNumberFormat="1" applyFont="1" applyFill="1" applyBorder="1" applyAlignment="1">
      <alignment horizontal="center"/>
    </xf>
    <xf numFmtId="4" fontId="9" fillId="0" borderId="67" xfId="0" applyNumberFormat="1" applyFont="1" applyFill="1" applyBorder="1" applyAlignment="1">
      <alignment horizontal="center"/>
    </xf>
    <xf numFmtId="4" fontId="5" fillId="0" borderId="60" xfId="0" applyNumberFormat="1" applyFont="1" applyBorder="1" applyAlignment="1">
      <alignment horizontal="center"/>
    </xf>
    <xf numFmtId="4" fontId="5" fillId="0" borderId="68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9" fillId="0" borderId="64" xfId="0" applyNumberFormat="1" applyFont="1" applyBorder="1" applyAlignment="1">
      <alignment/>
    </xf>
    <xf numFmtId="4" fontId="9" fillId="0" borderId="69" xfId="0" applyNumberFormat="1" applyFont="1" applyBorder="1" applyAlignment="1">
      <alignment/>
    </xf>
    <xf numFmtId="4" fontId="9" fillId="0" borderId="70" xfId="0" applyNumberFormat="1" applyFont="1" applyBorder="1" applyAlignment="1">
      <alignment/>
    </xf>
    <xf numFmtId="4" fontId="9" fillId="0" borderId="65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29" xfId="0" applyNumberFormat="1" applyFont="1" applyBorder="1" applyAlignment="1">
      <alignment/>
    </xf>
    <xf numFmtId="4" fontId="6" fillId="18" borderId="67" xfId="0" applyNumberFormat="1" applyFont="1" applyFill="1" applyBorder="1" applyAlignment="1" applyProtection="1">
      <alignment/>
      <protection locked="0"/>
    </xf>
    <xf numFmtId="4" fontId="6" fillId="18" borderId="58" xfId="0" applyNumberFormat="1" applyFont="1" applyFill="1" applyBorder="1" applyAlignment="1" applyProtection="1">
      <alignment/>
      <protection locked="0"/>
    </xf>
    <xf numFmtId="4" fontId="5" fillId="0" borderId="12" xfId="0" applyNumberFormat="1" applyFont="1" applyBorder="1" applyAlignment="1">
      <alignment horizontal="center"/>
    </xf>
    <xf numFmtId="7" fontId="9" fillId="0" borderId="35" xfId="0" applyNumberFormat="1" applyFont="1" applyBorder="1" applyAlignment="1">
      <alignment horizontal="center"/>
    </xf>
    <xf numFmtId="7" fontId="9" fillId="0" borderId="71" xfId="0" applyNumberFormat="1" applyFont="1" applyBorder="1" applyAlignment="1">
      <alignment horizontal="center"/>
    </xf>
    <xf numFmtId="7" fontId="9" fillId="0" borderId="30" xfId="0" applyNumberFormat="1" applyFont="1" applyBorder="1" applyAlignment="1">
      <alignment horizontal="center"/>
    </xf>
    <xf numFmtId="168" fontId="6" fillId="18" borderId="58" xfId="0" applyNumberFormat="1" applyFont="1" applyFill="1" applyBorder="1" applyAlignment="1" applyProtection="1">
      <alignment/>
      <protection locked="0"/>
    </xf>
    <xf numFmtId="168" fontId="6" fillId="18" borderId="46" xfId="0" applyNumberFormat="1" applyFont="1" applyFill="1" applyBorder="1" applyAlignment="1" applyProtection="1">
      <alignment/>
      <protection locked="0"/>
    </xf>
    <xf numFmtId="4" fontId="8" fillId="18" borderId="66" xfId="0" applyNumberFormat="1" applyFont="1" applyFill="1" applyBorder="1" applyAlignment="1" applyProtection="1">
      <alignment/>
      <protection locked="0"/>
    </xf>
    <xf numFmtId="4" fontId="8" fillId="18" borderId="11" xfId="0" applyNumberFormat="1" applyFont="1" applyFill="1" applyBorder="1" applyAlignment="1" applyProtection="1">
      <alignment/>
      <protection locked="0"/>
    </xf>
    <xf numFmtId="4" fontId="8" fillId="18" borderId="29" xfId="0" applyNumberFormat="1" applyFont="1" applyFill="1" applyBorder="1" applyAlignment="1" applyProtection="1">
      <alignment/>
      <protection locked="0"/>
    </xf>
    <xf numFmtId="3" fontId="6" fillId="18" borderId="72" xfId="0" applyNumberFormat="1" applyFont="1" applyFill="1" applyBorder="1" applyAlignment="1" applyProtection="1">
      <alignment/>
      <protection locked="0"/>
    </xf>
    <xf numFmtId="3" fontId="6" fillId="18" borderId="53" xfId="0" applyNumberFormat="1" applyFont="1" applyFill="1" applyBorder="1" applyAlignment="1" applyProtection="1">
      <alignment/>
      <protection locked="0"/>
    </xf>
    <xf numFmtId="3" fontId="6" fillId="18" borderId="73" xfId="0" applyNumberFormat="1" applyFont="1" applyFill="1" applyBorder="1" applyAlignment="1" applyProtection="1">
      <alignment/>
      <protection locked="0"/>
    </xf>
    <xf numFmtId="0" fontId="0" fillId="14" borderId="22" xfId="0" applyFill="1" applyBorder="1" applyAlignment="1">
      <alignment wrapText="1"/>
    </xf>
    <xf numFmtId="0" fontId="0" fillId="14" borderId="25" xfId="0" applyFill="1" applyBorder="1" applyAlignment="1">
      <alignment wrapText="1"/>
    </xf>
    <xf numFmtId="0" fontId="0" fillId="14" borderId="0" xfId="0" applyFill="1" applyBorder="1" applyAlignment="1">
      <alignment wrapText="1"/>
    </xf>
    <xf numFmtId="0" fontId="0" fillId="14" borderId="41" xfId="0" applyFill="1" applyBorder="1" applyAlignment="1">
      <alignment wrapText="1"/>
    </xf>
    <xf numFmtId="0" fontId="0" fillId="14" borderId="14" xfId="0" applyFill="1" applyBorder="1" applyAlignment="1">
      <alignment wrapText="1"/>
    </xf>
    <xf numFmtId="0" fontId="0" fillId="14" borderId="42" xfId="0" applyFill="1" applyBorder="1" applyAlignment="1">
      <alignment wrapText="1"/>
    </xf>
    <xf numFmtId="4" fontId="5" fillId="0" borderId="12" xfId="0" applyNumberFormat="1" applyFont="1" applyBorder="1" applyAlignment="1">
      <alignment horizontal="center"/>
    </xf>
    <xf numFmtId="4" fontId="9" fillId="0" borderId="74" xfId="0" applyNumberFormat="1" applyFont="1" applyBorder="1" applyAlignment="1">
      <alignment/>
    </xf>
    <xf numFmtId="4" fontId="9" fillId="0" borderId="53" xfId="0" applyNumberFormat="1" applyFont="1" applyBorder="1" applyAlignment="1">
      <alignment/>
    </xf>
    <xf numFmtId="4" fontId="9" fillId="0" borderId="73" xfId="0" applyNumberFormat="1" applyFont="1" applyBorder="1" applyAlignment="1">
      <alignment/>
    </xf>
    <xf numFmtId="49" fontId="16" fillId="2" borderId="22" xfId="0" applyNumberFormat="1" applyFont="1" applyFill="1" applyBorder="1" applyAlignment="1" applyProtection="1">
      <alignment wrapText="1" shrinkToFit="1"/>
      <protection locked="0"/>
    </xf>
    <xf numFmtId="49" fontId="16" fillId="2" borderId="25" xfId="0" applyNumberFormat="1" applyFont="1" applyFill="1" applyBorder="1" applyAlignment="1" applyProtection="1">
      <alignment wrapText="1" shrinkToFit="1"/>
      <protection locked="0"/>
    </xf>
    <xf numFmtId="49" fontId="16" fillId="2" borderId="14" xfId="0" applyNumberFormat="1" applyFont="1" applyFill="1" applyBorder="1" applyAlignment="1" applyProtection="1">
      <alignment wrapText="1" shrinkToFit="1"/>
      <protection locked="0"/>
    </xf>
    <xf numFmtId="49" fontId="16" fillId="2" borderId="42" xfId="0" applyNumberFormat="1" applyFont="1" applyFill="1" applyBorder="1" applyAlignment="1" applyProtection="1">
      <alignment wrapText="1" shrinkToFit="1"/>
      <protection locked="0"/>
    </xf>
    <xf numFmtId="4" fontId="5" fillId="0" borderId="60" xfId="0" applyNumberFormat="1" applyFont="1" applyBorder="1" applyAlignment="1">
      <alignment horizontal="center"/>
    </xf>
    <xf numFmtId="4" fontId="8" fillId="18" borderId="72" xfId="0" applyNumberFormat="1" applyFont="1" applyFill="1" applyBorder="1" applyAlignment="1" applyProtection="1">
      <alignment/>
      <protection locked="0"/>
    </xf>
    <xf numFmtId="4" fontId="8" fillId="18" borderId="53" xfId="0" applyNumberFormat="1" applyFont="1" applyFill="1" applyBorder="1" applyAlignment="1" applyProtection="1">
      <alignment/>
      <protection locked="0"/>
    </xf>
    <xf numFmtId="4" fontId="8" fillId="18" borderId="73" xfId="0" applyNumberFormat="1" applyFont="1" applyFill="1" applyBorder="1" applyAlignment="1" applyProtection="1">
      <alignment/>
      <protection locked="0"/>
    </xf>
    <xf numFmtId="49" fontId="11" fillId="2" borderId="18" xfId="0" applyNumberFormat="1" applyFont="1" applyFill="1" applyBorder="1" applyAlignment="1" applyProtection="1">
      <alignment wrapText="1"/>
      <protection locked="0"/>
    </xf>
    <xf numFmtId="49" fontId="11" fillId="2" borderId="25" xfId="0" applyNumberFormat="1" applyFont="1" applyFill="1" applyBorder="1" applyAlignment="1" applyProtection="1">
      <alignment wrapText="1"/>
      <protection locked="0"/>
    </xf>
    <xf numFmtId="49" fontId="11" fillId="2" borderId="13" xfId="0" applyNumberFormat="1" applyFont="1" applyFill="1" applyBorder="1" applyAlignment="1" applyProtection="1">
      <alignment wrapText="1"/>
      <protection locked="0"/>
    </xf>
    <xf numFmtId="49" fontId="11" fillId="2" borderId="42" xfId="0" applyNumberFormat="1" applyFont="1" applyFill="1" applyBorder="1" applyAlignment="1" applyProtection="1">
      <alignment wrapText="1"/>
      <protection locked="0"/>
    </xf>
    <xf numFmtId="0" fontId="0" fillId="14" borderId="18" xfId="0" applyFill="1" applyBorder="1" applyAlignment="1">
      <alignment wrapText="1"/>
    </xf>
    <xf numFmtId="0" fontId="0" fillId="14" borderId="12" xfId="0" applyFill="1" applyBorder="1" applyAlignment="1">
      <alignment wrapText="1"/>
    </xf>
    <xf numFmtId="0" fontId="0" fillId="14" borderId="13" xfId="0" applyFill="1" applyBorder="1" applyAlignment="1">
      <alignment wrapText="1"/>
    </xf>
    <xf numFmtId="4" fontId="3" fillId="0" borderId="27" xfId="0" applyNumberFormat="1" applyFont="1" applyBorder="1" applyAlignment="1">
      <alignment/>
    </xf>
    <xf numFmtId="4" fontId="3" fillId="0" borderId="60" xfId="0" applyNumberFormat="1" applyFont="1" applyBorder="1" applyAlignment="1">
      <alignment/>
    </xf>
    <xf numFmtId="168" fontId="6" fillId="18" borderId="57" xfId="0" applyNumberFormat="1" applyFont="1" applyFill="1" applyBorder="1" applyAlignment="1" applyProtection="1">
      <alignment/>
      <protection locked="0"/>
    </xf>
    <xf numFmtId="168" fontId="6" fillId="18" borderId="70" xfId="0" applyNumberFormat="1" applyFont="1" applyFill="1" applyBorder="1" applyAlignment="1" applyProtection="1">
      <alignment/>
      <protection locked="0"/>
    </xf>
    <xf numFmtId="4" fontId="9" fillId="0" borderId="35" xfId="0" applyNumberFormat="1" applyFont="1" applyBorder="1" applyAlignment="1">
      <alignment/>
    </xf>
    <xf numFmtId="4" fontId="9" fillId="0" borderId="71" xfId="0" applyNumberFormat="1" applyFont="1" applyBorder="1" applyAlignment="1">
      <alignment/>
    </xf>
    <xf numFmtId="4" fontId="9" fillId="0" borderId="30" xfId="0" applyNumberFormat="1" applyFont="1" applyBorder="1" applyAlignment="1">
      <alignment/>
    </xf>
    <xf numFmtId="4" fontId="8" fillId="18" borderId="35" xfId="0" applyNumberFormat="1" applyFont="1" applyFill="1" applyBorder="1" applyAlignment="1" applyProtection="1">
      <alignment/>
      <protection locked="0"/>
    </xf>
    <xf numFmtId="4" fontId="8" fillId="18" borderId="71" xfId="0" applyNumberFormat="1" applyFont="1" applyFill="1" applyBorder="1" applyAlignment="1" applyProtection="1">
      <alignment/>
      <protection locked="0"/>
    </xf>
    <xf numFmtId="4" fontId="8" fillId="18" borderId="30" xfId="0" applyNumberFormat="1" applyFont="1" applyFill="1" applyBorder="1" applyAlignment="1" applyProtection="1">
      <alignment/>
      <protection locked="0"/>
    </xf>
    <xf numFmtId="4" fontId="6" fillId="18" borderId="64" xfId="0" applyNumberFormat="1" applyFont="1" applyFill="1" applyBorder="1" applyAlignment="1" applyProtection="1">
      <alignment/>
      <protection locked="0"/>
    </xf>
    <xf numFmtId="4" fontId="6" fillId="18" borderId="69" xfId="0" applyNumberFormat="1" applyFont="1" applyFill="1" applyBorder="1" applyAlignment="1" applyProtection="1">
      <alignment/>
      <protection locked="0"/>
    </xf>
    <xf numFmtId="4" fontId="8" fillId="18" borderId="47" xfId="0" applyNumberFormat="1" applyFont="1" applyFill="1" applyBorder="1" applyAlignment="1" applyProtection="1">
      <alignment/>
      <protection locked="0"/>
    </xf>
    <xf numFmtId="4" fontId="8" fillId="18" borderId="75" xfId="0" applyNumberFormat="1" applyFont="1" applyFill="1" applyBorder="1" applyAlignment="1" applyProtection="1">
      <alignment/>
      <protection locked="0"/>
    </xf>
    <xf numFmtId="4" fontId="8" fillId="18" borderId="50" xfId="0" applyNumberFormat="1" applyFont="1" applyFill="1" applyBorder="1" applyAlignment="1" applyProtection="1">
      <alignment/>
      <protection locked="0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Euro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Comma [0]" xfId="55"/>
    <cellStyle name="Currency [0]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3"/>
  <sheetViews>
    <sheetView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22" sqref="N22"/>
    </sheetView>
  </sheetViews>
  <sheetFormatPr defaultColWidth="9.140625" defaultRowHeight="12.75"/>
  <cols>
    <col min="1" max="1" width="0.85546875" style="1" customWidth="1"/>
    <col min="2" max="2" width="28.28125" style="1" customWidth="1"/>
    <col min="3" max="6" width="8.7109375" style="1" customWidth="1"/>
    <col min="7" max="7" width="8.7109375" style="52" customWidth="1"/>
    <col min="8" max="8" width="9.7109375" style="1" customWidth="1"/>
    <col min="9" max="11" width="8.7109375" style="1" customWidth="1"/>
    <col min="12" max="12" width="9.28125" style="1" customWidth="1"/>
    <col min="13" max="13" width="0.85546875" style="1" customWidth="1"/>
    <col min="14" max="14" width="10.28125" style="0" customWidth="1"/>
    <col min="17" max="17" width="11.8515625" style="0" customWidth="1"/>
    <col min="76" max="16384" width="9.140625" style="1" customWidth="1"/>
  </cols>
  <sheetData>
    <row r="1" spans="1:13" ht="5.25" customHeight="1" thickBot="1">
      <c r="A1" s="138"/>
      <c r="B1" s="165"/>
      <c r="C1" s="166"/>
      <c r="D1" s="166"/>
      <c r="E1" s="166"/>
      <c r="F1" s="166"/>
      <c r="G1" s="167"/>
      <c r="H1" s="166"/>
      <c r="I1" s="166"/>
      <c r="J1" s="168"/>
      <c r="K1" s="166"/>
      <c r="L1" s="169"/>
      <c r="M1" s="138"/>
    </row>
    <row r="2" spans="1:14" ht="15" customHeight="1">
      <c r="A2" s="170"/>
      <c r="B2" s="237"/>
      <c r="C2" s="239" t="s">
        <v>114</v>
      </c>
      <c r="D2" s="240"/>
      <c r="E2" s="241"/>
      <c r="F2" s="245" t="s">
        <v>62</v>
      </c>
      <c r="G2" s="246"/>
      <c r="H2" s="246"/>
      <c r="I2" s="233" t="s">
        <v>73</v>
      </c>
      <c r="J2" s="234"/>
      <c r="K2" s="251" t="s">
        <v>156</v>
      </c>
      <c r="L2" s="252"/>
      <c r="M2" s="128"/>
      <c r="N2" t="s">
        <v>31</v>
      </c>
    </row>
    <row r="3" spans="1:14" ht="15" customHeight="1">
      <c r="A3" s="171"/>
      <c r="B3" s="238"/>
      <c r="C3" s="242" t="s">
        <v>69</v>
      </c>
      <c r="D3" s="243"/>
      <c r="E3" s="244"/>
      <c r="F3" s="253"/>
      <c r="G3" s="254"/>
      <c r="H3" s="254"/>
      <c r="I3" s="254"/>
      <c r="J3" s="254"/>
      <c r="K3" s="254"/>
      <c r="L3" s="255"/>
      <c r="M3" s="123"/>
      <c r="N3" t="s">
        <v>30</v>
      </c>
    </row>
    <row r="4" spans="1:14" ht="15" customHeight="1">
      <c r="A4" s="172"/>
      <c r="B4" s="247" t="s">
        <v>67</v>
      </c>
      <c r="C4" s="242" t="s">
        <v>70</v>
      </c>
      <c r="D4" s="243"/>
      <c r="E4" s="244"/>
      <c r="F4" s="253" t="s">
        <v>155</v>
      </c>
      <c r="G4" s="254"/>
      <c r="H4" s="254"/>
      <c r="I4" s="254"/>
      <c r="J4" s="254"/>
      <c r="K4" s="254"/>
      <c r="L4" s="255"/>
      <c r="M4" s="129"/>
      <c r="N4" t="s">
        <v>59</v>
      </c>
    </row>
    <row r="5" spans="1:14" ht="15" customHeight="1" thickBot="1">
      <c r="A5" s="172"/>
      <c r="B5" s="247"/>
      <c r="C5" s="248">
        <f>I7*L12</f>
        <v>3851.373070175439</v>
      </c>
      <c r="D5" s="249"/>
      <c r="E5" s="250"/>
      <c r="F5" s="256" t="s">
        <v>157</v>
      </c>
      <c r="G5" s="257"/>
      <c r="H5" s="257"/>
      <c r="I5" s="257"/>
      <c r="J5" s="257"/>
      <c r="K5" s="257"/>
      <c r="L5" s="258"/>
      <c r="M5" s="129"/>
      <c r="N5" s="187" t="s">
        <v>58</v>
      </c>
    </row>
    <row r="6" spans="1:14" ht="12.75" customHeight="1" thickBot="1">
      <c r="A6" s="172"/>
      <c r="B6" s="235" t="s">
        <v>68</v>
      </c>
      <c r="C6" s="79" t="s">
        <v>71</v>
      </c>
      <c r="D6" s="77"/>
      <c r="E6" s="81"/>
      <c r="F6" s="176" t="s">
        <v>90</v>
      </c>
      <c r="G6" s="228"/>
      <c r="H6" s="229"/>
      <c r="I6" s="174" t="s">
        <v>98</v>
      </c>
      <c r="J6" s="175"/>
      <c r="K6" s="176" t="s">
        <v>99</v>
      </c>
      <c r="L6" s="176" t="s">
        <v>100</v>
      </c>
      <c r="M6" s="129"/>
      <c r="N6" t="s">
        <v>32</v>
      </c>
    </row>
    <row r="7" spans="1:14" ht="12.75" customHeight="1" thickBot="1">
      <c r="A7" s="172"/>
      <c r="B7" s="236"/>
      <c r="C7" s="139"/>
      <c r="D7" s="72"/>
      <c r="E7" s="83"/>
      <c r="F7" s="28" t="s">
        <v>50</v>
      </c>
      <c r="G7" s="230"/>
      <c r="H7" s="231"/>
      <c r="I7" s="185">
        <v>20</v>
      </c>
      <c r="J7" s="177" t="s">
        <v>56</v>
      </c>
      <c r="K7" s="186">
        <v>10</v>
      </c>
      <c r="L7" s="186">
        <v>10</v>
      </c>
      <c r="M7" s="129"/>
      <c r="N7" t="s">
        <v>33</v>
      </c>
    </row>
    <row r="8" spans="1:13" ht="5.25" customHeight="1" thickBot="1">
      <c r="A8" s="172"/>
      <c r="B8" s="124"/>
      <c r="C8" s="125"/>
      <c r="D8" s="121"/>
      <c r="E8" s="125"/>
      <c r="F8" s="121"/>
      <c r="G8" s="137"/>
      <c r="H8" s="125"/>
      <c r="I8" s="121"/>
      <c r="J8" s="125"/>
      <c r="K8" s="126"/>
      <c r="L8" s="127"/>
      <c r="M8" s="129"/>
    </row>
    <row r="9" spans="1:14" ht="24" customHeight="1" thickBot="1">
      <c r="A9" s="172"/>
      <c r="B9" s="223" t="s">
        <v>85</v>
      </c>
      <c r="C9" s="18"/>
      <c r="D9" s="19"/>
      <c r="E9" s="213" t="s">
        <v>109</v>
      </c>
      <c r="F9" s="216" t="s">
        <v>89</v>
      </c>
      <c r="G9" s="59"/>
      <c r="H9" s="213" t="s">
        <v>107</v>
      </c>
      <c r="I9" s="216" t="s">
        <v>108</v>
      </c>
      <c r="J9" s="213" t="s">
        <v>93</v>
      </c>
      <c r="K9" s="22" t="s">
        <v>101</v>
      </c>
      <c r="L9" s="23" t="s">
        <v>81</v>
      </c>
      <c r="M9" s="129"/>
      <c r="N9" t="s">
        <v>60</v>
      </c>
    </row>
    <row r="10" spans="1:13" ht="13.5" thickBot="1">
      <c r="A10" s="173"/>
      <c r="B10" s="14"/>
      <c r="C10" s="2"/>
      <c r="D10" s="3"/>
      <c r="E10" s="102">
        <f>IF($E$77&lt;&gt;0,(60/$E$77*(L10-J10)),"?")</f>
        <v>34.92417089783282</v>
      </c>
      <c r="F10" s="103">
        <f>(E77/60)*$I$7</f>
        <v>19.833333333333336</v>
      </c>
      <c r="G10" s="111">
        <f>G28+G52+G77+G85+G104</f>
        <v>113.83066666666666</v>
      </c>
      <c r="H10" s="104">
        <f>(J10-G10)*$K$7</f>
        <v>55.91120000000018</v>
      </c>
      <c r="I10" s="104">
        <f>(L10-J10)*$K$7</f>
        <v>346.3313614035088</v>
      </c>
      <c r="J10" s="105">
        <f>SUM(J15:J104)</f>
        <v>119.42178666666668</v>
      </c>
      <c r="K10" s="106">
        <f>IF(L10&lt;&gt;0,(L10-J10)/L10,"?")</f>
        <v>0.22481031770555834</v>
      </c>
      <c r="L10" s="107">
        <f>L28+L52+L77+L85+L104</f>
        <v>154.05492280701756</v>
      </c>
      <c r="M10" s="130"/>
    </row>
    <row r="11" spans="1:14" ht="24" customHeight="1" thickBot="1">
      <c r="A11" s="172"/>
      <c r="B11" s="13">
        <f>L12/C52</f>
        <v>10.698258528265107</v>
      </c>
      <c r="C11" s="2" t="s">
        <v>64</v>
      </c>
      <c r="D11" s="3"/>
      <c r="E11" s="213" t="s">
        <v>109</v>
      </c>
      <c r="F11" s="219" t="s">
        <v>111</v>
      </c>
      <c r="G11" s="88"/>
      <c r="H11" s="88"/>
      <c r="I11" s="219" t="s">
        <v>125</v>
      </c>
      <c r="J11" s="88"/>
      <c r="K11" s="218" t="s">
        <v>101</v>
      </c>
      <c r="L11" s="220" t="s">
        <v>94</v>
      </c>
      <c r="M11" s="129"/>
      <c r="N11" t="s">
        <v>156</v>
      </c>
    </row>
    <row r="12" spans="1:14" ht="13.5" thickBot="1">
      <c r="A12" s="172"/>
      <c r="B12" s="15"/>
      <c r="C12" s="71"/>
      <c r="D12" s="16"/>
      <c r="E12" s="102">
        <f>IF($E$77&lt;&gt;0,(60/$E$77*(L12-J10)),"?")</f>
        <v>73.76154639540027</v>
      </c>
      <c r="F12" s="103">
        <f>(L12-J10)*$I$7</f>
        <v>1462.9373368421054</v>
      </c>
      <c r="G12" s="111">
        <f>G10</f>
        <v>113.83066666666666</v>
      </c>
      <c r="H12" s="57"/>
      <c r="I12" s="104">
        <f>(L12-J10)*$K$7</f>
        <v>731.4686684210527</v>
      </c>
      <c r="J12" s="58"/>
      <c r="K12" s="106">
        <f>IF(L12&lt;&gt;0,(L12-J10)/L12,"?")</f>
        <v>0.3798482541644467</v>
      </c>
      <c r="L12" s="188">
        <f>L10*1.25</f>
        <v>192.56865350877194</v>
      </c>
      <c r="M12" s="129"/>
      <c r="N12">
        <v>192.57</v>
      </c>
    </row>
    <row r="13" spans="1:13" ht="5.25" customHeight="1" thickBot="1">
      <c r="A13" s="172"/>
      <c r="B13" s="120"/>
      <c r="C13" s="121"/>
      <c r="D13" s="121"/>
      <c r="E13" s="121"/>
      <c r="F13" s="121"/>
      <c r="G13" s="121"/>
      <c r="H13" s="121"/>
      <c r="I13" s="121"/>
      <c r="J13" s="122"/>
      <c r="K13" s="121"/>
      <c r="L13" s="123">
        <v>0</v>
      </c>
      <c r="M13" s="129"/>
    </row>
    <row r="14" spans="1:13" ht="24.75" customHeight="1">
      <c r="A14" s="178"/>
      <c r="B14" s="24" t="s">
        <v>82</v>
      </c>
      <c r="C14" s="210" t="s">
        <v>66</v>
      </c>
      <c r="D14" s="210" t="s">
        <v>65</v>
      </c>
      <c r="E14" s="211" t="s">
        <v>75</v>
      </c>
      <c r="F14" s="210" t="s">
        <v>76</v>
      </c>
      <c r="G14" s="31" t="s">
        <v>78</v>
      </c>
      <c r="H14" s="31" t="s">
        <v>106</v>
      </c>
      <c r="I14" s="210" t="s">
        <v>87</v>
      </c>
      <c r="J14" s="211" t="s">
        <v>93</v>
      </c>
      <c r="K14" s="161"/>
      <c r="L14" s="163" t="s">
        <v>81</v>
      </c>
      <c r="M14" s="129"/>
    </row>
    <row r="15" spans="1:13" ht="12" customHeight="1">
      <c r="A15" s="178"/>
      <c r="B15" s="109" t="str">
        <f>CONCATENATE("Part 1 ",'Part 1'!$F$4)</f>
        <v>Part 1 Flat steel</v>
      </c>
      <c r="C15" s="101"/>
      <c r="D15" s="101"/>
      <c r="E15" s="224">
        <f>'Part 1'!$F$9</f>
        <v>4</v>
      </c>
      <c r="F15" s="101">
        <f>'Part 1'!$G$21</f>
        <v>1.2000000000000002</v>
      </c>
      <c r="G15" s="101">
        <f aca="true" t="shared" si="0" ref="G15:G27">(E15*F15)</f>
        <v>4.800000000000001</v>
      </c>
      <c r="H15" s="101">
        <f>'Part 1'!$H$21</f>
        <v>1.05</v>
      </c>
      <c r="I15" s="89">
        <f aca="true" t="shared" si="1" ref="I15:I27">(G15*H15)</f>
        <v>5.040000000000001</v>
      </c>
      <c r="J15" s="89"/>
      <c r="K15" s="89"/>
      <c r="L15" s="98"/>
      <c r="M15" s="129"/>
    </row>
    <row r="16" spans="1:16" ht="12" customHeight="1">
      <c r="A16" s="178"/>
      <c r="B16" s="109" t="str">
        <f>CONCATENATE("Part 2 ",'Part 2'!$F$4)</f>
        <v>Part 2 Tube 25,3 x 3</v>
      </c>
      <c r="C16" s="101"/>
      <c r="D16" s="101"/>
      <c r="E16" s="224">
        <f>'Part 2'!$F$9</f>
        <v>1</v>
      </c>
      <c r="F16" s="101">
        <f>'Part 2'!$G$21</f>
        <v>0.65</v>
      </c>
      <c r="G16" s="101">
        <f t="shared" si="0"/>
        <v>0.65</v>
      </c>
      <c r="H16" s="101">
        <f>'Part 2'!$H$21</f>
        <v>1.05</v>
      </c>
      <c r="I16" s="89">
        <f t="shared" si="1"/>
        <v>0.6825000000000001</v>
      </c>
      <c r="J16" s="89"/>
      <c r="K16" s="89"/>
      <c r="L16" s="98"/>
      <c r="M16" s="129"/>
      <c r="N16" s="232" t="s">
        <v>54</v>
      </c>
      <c r="O16" s="232"/>
      <c r="P16" s="232"/>
    </row>
    <row r="17" spans="1:16" ht="12" customHeight="1">
      <c r="A17" s="178"/>
      <c r="B17" s="109" t="str">
        <f>CONCATENATE("Part 3 ",'Part 3'!$F$4)</f>
        <v>Part 3 Flat steel 6x80</v>
      </c>
      <c r="C17" s="101"/>
      <c r="D17" s="101"/>
      <c r="E17" s="224">
        <f>'Part 3'!$F$9</f>
        <v>1</v>
      </c>
      <c r="F17" s="101">
        <f>'Part 3'!$G$21</f>
        <v>2.16</v>
      </c>
      <c r="G17" s="101">
        <f t="shared" si="0"/>
        <v>2.16</v>
      </c>
      <c r="H17" s="101">
        <f>'Part 3'!$H$21</f>
        <v>1.05</v>
      </c>
      <c r="I17" s="89">
        <f t="shared" si="1"/>
        <v>2.2680000000000002</v>
      </c>
      <c r="J17" s="89"/>
      <c r="K17" s="89"/>
      <c r="L17" s="98"/>
      <c r="M17" s="129"/>
      <c r="N17" s="232"/>
      <c r="O17" s="232"/>
      <c r="P17" s="232"/>
    </row>
    <row r="18" spans="1:16" ht="12" customHeight="1">
      <c r="A18" s="178"/>
      <c r="B18" s="109" t="str">
        <f>CONCATENATE("Part 4 ",'Part 4'!$F$4)</f>
        <v>Part 4 Round bar 18</v>
      </c>
      <c r="C18" s="101"/>
      <c r="D18" s="101"/>
      <c r="E18" s="224">
        <f>'Part 4'!$F$9</f>
        <v>1</v>
      </c>
      <c r="F18" s="101">
        <f>'Part 4'!$G$21</f>
        <v>0.7200000000000001</v>
      </c>
      <c r="G18" s="101">
        <f t="shared" si="0"/>
        <v>0.7200000000000001</v>
      </c>
      <c r="H18" s="101">
        <f>'Part 4'!$H$21</f>
        <v>1.05</v>
      </c>
      <c r="I18" s="89">
        <f t="shared" si="1"/>
        <v>0.7560000000000001</v>
      </c>
      <c r="J18" s="89"/>
      <c r="K18" s="89"/>
      <c r="L18" s="98"/>
      <c r="M18" s="129"/>
      <c r="N18" s="232"/>
      <c r="O18" s="232"/>
      <c r="P18" s="232"/>
    </row>
    <row r="19" spans="1:16" ht="12" customHeight="1">
      <c r="A19" s="178"/>
      <c r="B19" s="109" t="str">
        <f>CONCATENATE("Part 5 ",'Part 5'!$F$4)</f>
        <v>Part 5 L50x20x4 -750</v>
      </c>
      <c r="C19" s="101"/>
      <c r="D19" s="101"/>
      <c r="E19" s="224">
        <f>'Part 5'!$F$9</f>
        <v>2</v>
      </c>
      <c r="F19" s="101">
        <f>'Part 5'!$G$21</f>
        <v>2.8600000000000003</v>
      </c>
      <c r="G19" s="101">
        <f t="shared" si="0"/>
        <v>5.720000000000001</v>
      </c>
      <c r="H19" s="101">
        <f>'Part 5'!$H$21</f>
        <v>1.05</v>
      </c>
      <c r="I19" s="89">
        <f t="shared" si="1"/>
        <v>6.006000000000001</v>
      </c>
      <c r="J19" s="89"/>
      <c r="K19" s="89"/>
      <c r="L19" s="98"/>
      <c r="M19" s="129"/>
      <c r="N19" s="232"/>
      <c r="O19" s="232"/>
      <c r="P19" s="232"/>
    </row>
    <row r="20" spans="1:13" ht="12" customHeight="1">
      <c r="A20" s="178"/>
      <c r="B20" s="109" t="str">
        <f>CONCATENATE("Part 6 ",'Part 6'!$F$4)</f>
        <v>Part 6 Putki 25x3 -50</v>
      </c>
      <c r="C20" s="101"/>
      <c r="D20" s="101"/>
      <c r="E20" s="224">
        <f>'Part 6'!$F$9</f>
        <v>4</v>
      </c>
      <c r="F20" s="101">
        <f>'Part 6'!$G$21</f>
        <v>0.11699999999999999</v>
      </c>
      <c r="G20" s="101">
        <f t="shared" si="0"/>
        <v>0.46799999999999997</v>
      </c>
      <c r="H20" s="101">
        <f>'Part 6'!$H$21</f>
        <v>1.08</v>
      </c>
      <c r="I20" s="89">
        <f t="shared" si="1"/>
        <v>0.50544</v>
      </c>
      <c r="J20" s="89"/>
      <c r="K20" s="89"/>
      <c r="L20" s="98"/>
      <c r="M20" s="129"/>
    </row>
    <row r="21" spans="1:13" ht="12" customHeight="1">
      <c r="A21" s="178"/>
      <c r="B21" s="109" t="str">
        <f>CONCATENATE("Part 7 ",'Part 7'!$F$4)</f>
        <v>Part 7 Round plate</v>
      </c>
      <c r="C21" s="101"/>
      <c r="D21" s="101"/>
      <c r="E21" s="224">
        <f>'Part 7'!$F$9</f>
        <v>2</v>
      </c>
      <c r="F21" s="101">
        <f>'Part 7'!$G$21</f>
        <v>0.2</v>
      </c>
      <c r="G21" s="101">
        <f t="shared" si="0"/>
        <v>0.4</v>
      </c>
      <c r="H21" s="101">
        <f>'Part 7'!$H$21</f>
        <v>1.08</v>
      </c>
      <c r="I21" s="89">
        <f t="shared" si="1"/>
        <v>0.43200000000000005</v>
      </c>
      <c r="J21" s="89"/>
      <c r="K21" s="89"/>
      <c r="L21" s="98"/>
      <c r="M21" s="129"/>
    </row>
    <row r="22" spans="1:13" ht="12" customHeight="1">
      <c r="A22" s="178"/>
      <c r="B22" s="179" t="str">
        <f>CONCATENATE("Part 8 ",'Part 8'!$F$4)</f>
        <v>Part 8 L-bar 40x60x6 -750</v>
      </c>
      <c r="C22" s="180"/>
      <c r="D22" s="180"/>
      <c r="E22" s="224">
        <f>'Part 8'!$F$9</f>
        <v>2</v>
      </c>
      <c r="F22" s="101">
        <f>'Part 8'!$G$21</f>
        <v>2.43</v>
      </c>
      <c r="G22" s="101">
        <f t="shared" si="0"/>
        <v>4.86</v>
      </c>
      <c r="H22" s="101">
        <f>'Part 8'!$H$21</f>
        <v>1.05</v>
      </c>
      <c r="I22" s="89">
        <f t="shared" si="1"/>
        <v>5.103000000000001</v>
      </c>
      <c r="J22" s="89"/>
      <c r="K22" s="89"/>
      <c r="L22" s="98"/>
      <c r="M22" s="129"/>
    </row>
    <row r="23" spans="1:13" ht="12" customHeight="1">
      <c r="A23" s="178"/>
      <c r="B23" s="207" t="str">
        <f>CONCATENATE("Part 9 ",'Part 9'!$F$4)</f>
        <v>Part 9 Tube rings</v>
      </c>
      <c r="C23" s="180"/>
      <c r="D23" s="180"/>
      <c r="E23" s="224">
        <f>'Part 9'!$F$9</f>
        <v>2</v>
      </c>
      <c r="F23" s="101">
        <f>'Part 9'!$G$21</f>
        <v>0.013000000000000001</v>
      </c>
      <c r="G23" s="101">
        <f>(E23*F23)</f>
        <v>0.026000000000000002</v>
      </c>
      <c r="H23" s="101">
        <f>'Part 9'!$H$21</f>
        <v>1.08</v>
      </c>
      <c r="I23" s="89">
        <f>(G23*H23)</f>
        <v>0.028080000000000004</v>
      </c>
      <c r="J23" s="89"/>
      <c r="K23" s="89"/>
      <c r="L23" s="98"/>
      <c r="M23" s="129"/>
    </row>
    <row r="24" spans="1:13" ht="12" customHeight="1">
      <c r="A24" s="178"/>
      <c r="B24" s="182"/>
      <c r="C24" s="29"/>
      <c r="D24" s="29"/>
      <c r="E24" s="225">
        <v>1</v>
      </c>
      <c r="F24" s="189">
        <f>C24*D24</f>
        <v>0</v>
      </c>
      <c r="G24" s="101">
        <f t="shared" si="0"/>
        <v>0</v>
      </c>
      <c r="H24" s="189">
        <v>1.05</v>
      </c>
      <c r="I24" s="89">
        <f t="shared" si="1"/>
        <v>0</v>
      </c>
      <c r="J24" s="89"/>
      <c r="K24" s="91"/>
      <c r="L24" s="92"/>
      <c r="M24" s="129"/>
    </row>
    <row r="25" spans="1:13" ht="12" customHeight="1">
      <c r="A25" s="178"/>
      <c r="B25" s="73"/>
      <c r="C25" s="29"/>
      <c r="D25" s="29"/>
      <c r="E25" s="225">
        <v>1</v>
      </c>
      <c r="F25" s="189">
        <f>C25*D25</f>
        <v>0</v>
      </c>
      <c r="G25" s="101">
        <f t="shared" si="0"/>
        <v>0</v>
      </c>
      <c r="H25" s="189">
        <v>1.05</v>
      </c>
      <c r="I25" s="89">
        <f t="shared" si="1"/>
        <v>0</v>
      </c>
      <c r="J25" s="89"/>
      <c r="K25" s="91" t="s">
        <v>107</v>
      </c>
      <c r="L25" s="92">
        <f>(J28-G28)*$K$7</f>
        <v>10.170199999999987</v>
      </c>
      <c r="M25" s="129"/>
    </row>
    <row r="26" spans="1:13" ht="12" customHeight="1" thickBot="1">
      <c r="A26" s="178"/>
      <c r="B26" s="182"/>
      <c r="C26" s="29"/>
      <c r="D26" s="29"/>
      <c r="E26" s="225">
        <v>1</v>
      </c>
      <c r="F26" s="189">
        <f>C26*D26</f>
        <v>0</v>
      </c>
      <c r="G26" s="101">
        <f t="shared" si="0"/>
        <v>0</v>
      </c>
      <c r="H26" s="189">
        <v>1.05</v>
      </c>
      <c r="I26" s="89">
        <f t="shared" si="1"/>
        <v>0</v>
      </c>
      <c r="J26" s="89"/>
      <c r="K26" s="91" t="s">
        <v>118</v>
      </c>
      <c r="L26" s="92">
        <f>(L28-J28)*$K$7</f>
        <v>23.134466666666675</v>
      </c>
      <c r="M26" s="129"/>
    </row>
    <row r="27" spans="1:13" ht="12" customHeight="1">
      <c r="A27" s="178"/>
      <c r="B27" s="74"/>
      <c r="C27" s="30"/>
      <c r="D27" s="30"/>
      <c r="E27" s="225">
        <v>1</v>
      </c>
      <c r="F27" s="189">
        <f>C27*D27</f>
        <v>0</v>
      </c>
      <c r="G27" s="101">
        <f t="shared" si="0"/>
        <v>0</v>
      </c>
      <c r="H27" s="189">
        <v>1.05</v>
      </c>
      <c r="I27" s="89">
        <f t="shared" si="1"/>
        <v>0</v>
      </c>
      <c r="J27" s="90"/>
      <c r="K27" s="93" t="s">
        <v>117</v>
      </c>
      <c r="L27" s="94">
        <f>IF(L10&lt;&gt;0,L28/L10,"?")</f>
        <v>0.15017025256406047</v>
      </c>
      <c r="M27" s="129"/>
    </row>
    <row r="28" spans="1:16" ht="12.75" customHeight="1" thickBot="1">
      <c r="A28" s="181"/>
      <c r="B28" s="183" t="s">
        <v>88</v>
      </c>
      <c r="C28" s="184">
        <v>16</v>
      </c>
      <c r="D28" s="184"/>
      <c r="E28" s="115"/>
      <c r="F28" s="115"/>
      <c r="G28" s="115">
        <f>SUM(G15:G27)</f>
        <v>19.804000000000002</v>
      </c>
      <c r="H28" s="115">
        <f>IF(G28&lt;&gt;0,I28/G28,"?")</f>
        <v>1.0513542718642697</v>
      </c>
      <c r="I28" s="115">
        <f>SUM(I15:I27)</f>
        <v>20.82102</v>
      </c>
      <c r="J28" s="118">
        <f>SUM(I15:I27)</f>
        <v>20.82102</v>
      </c>
      <c r="K28" s="192">
        <v>0.1</v>
      </c>
      <c r="L28" s="119">
        <f>J28/(1-K28)</f>
        <v>23.13446666666667</v>
      </c>
      <c r="M28" s="130"/>
      <c r="N28" s="202">
        <f>G28</f>
        <v>19.804000000000002</v>
      </c>
      <c r="O28" s="38"/>
      <c r="P28" s="38"/>
    </row>
    <row r="29" spans="1:16" ht="5.25" customHeight="1" thickBot="1">
      <c r="A29" s="172"/>
      <c r="B29" s="147"/>
      <c r="C29" s="56"/>
      <c r="D29" s="56"/>
      <c r="E29" s="148"/>
      <c r="F29" s="56"/>
      <c r="G29" s="149"/>
      <c r="H29" s="149"/>
      <c r="I29" s="56"/>
      <c r="J29" s="56"/>
      <c r="K29" s="150"/>
      <c r="L29" s="151"/>
      <c r="M29" s="129"/>
      <c r="N29" s="38"/>
      <c r="O29" s="38"/>
      <c r="P29" s="38"/>
    </row>
    <row r="30" spans="1:16" ht="24.75" customHeight="1">
      <c r="A30" s="172"/>
      <c r="B30" s="24" t="s">
        <v>84</v>
      </c>
      <c r="C30" s="210" t="s">
        <v>63</v>
      </c>
      <c r="D30" s="210" t="s">
        <v>64</v>
      </c>
      <c r="E30" s="211" t="s">
        <v>86</v>
      </c>
      <c r="F30" s="210" t="s">
        <v>76</v>
      </c>
      <c r="G30" s="212" t="s">
        <v>78</v>
      </c>
      <c r="H30" s="212" t="s">
        <v>106</v>
      </c>
      <c r="I30" s="210" t="s">
        <v>104</v>
      </c>
      <c r="J30" s="211" t="s">
        <v>93</v>
      </c>
      <c r="K30" s="164"/>
      <c r="L30" s="163" t="s">
        <v>81</v>
      </c>
      <c r="M30" s="129"/>
      <c r="N30" s="38"/>
      <c r="O30" s="38"/>
      <c r="P30" s="38"/>
    </row>
    <row r="31" spans="1:16" ht="12" customHeight="1">
      <c r="A31" s="172"/>
      <c r="B31" s="109" t="str">
        <f>CONCATENATE("Part 1 ",'Part 1'!$F$4)</f>
        <v>Part 1 Flat steel</v>
      </c>
      <c r="C31" s="101"/>
      <c r="D31" s="101"/>
      <c r="E31" s="224">
        <f>'Part 1'!$F$9</f>
        <v>4</v>
      </c>
      <c r="F31" s="101">
        <f>'Part 1'!$G$28</f>
        <v>0.16</v>
      </c>
      <c r="G31" s="101">
        <f aca="true" t="shared" si="2" ref="G31:G51">(E31*F31)</f>
        <v>0.64</v>
      </c>
      <c r="H31" s="101">
        <f>'Part 1'!$H$28</f>
        <v>1.08</v>
      </c>
      <c r="I31" s="89">
        <f aca="true" t="shared" si="3" ref="I31:I51">(G31*H31)</f>
        <v>0.6912</v>
      </c>
      <c r="J31" s="89"/>
      <c r="K31" s="91"/>
      <c r="L31" s="92"/>
      <c r="M31" s="129"/>
      <c r="N31" s="38"/>
      <c r="O31" s="38"/>
      <c r="P31" s="38"/>
    </row>
    <row r="32" spans="1:16" ht="12" customHeight="1">
      <c r="A32" s="172"/>
      <c r="B32" s="109" t="str">
        <f>CONCATENATE("Part 2 ",'Part 2'!$F$4)</f>
        <v>Part 2 Tube 25,3 x 3</v>
      </c>
      <c r="C32" s="101"/>
      <c r="D32" s="101"/>
      <c r="E32" s="224">
        <f>'Part 2'!$F$9</f>
        <v>1</v>
      </c>
      <c r="F32" s="101">
        <f>'Part 2'!$G$28</f>
        <v>0</v>
      </c>
      <c r="G32" s="101">
        <f t="shared" si="2"/>
        <v>0</v>
      </c>
      <c r="H32" s="101">
        <f>'Part 2'!$H$28</f>
        <v>0</v>
      </c>
      <c r="I32" s="89">
        <f t="shared" si="3"/>
        <v>0</v>
      </c>
      <c r="J32" s="89"/>
      <c r="K32" s="91"/>
      <c r="L32" s="92"/>
      <c r="M32" s="129"/>
      <c r="N32" s="38"/>
      <c r="O32" s="38"/>
      <c r="P32" s="38"/>
    </row>
    <row r="33" spans="1:16" ht="12" customHeight="1">
      <c r="A33" s="172"/>
      <c r="B33" s="109" t="str">
        <f>CONCATENATE("Part 3 ",'Part 3'!$F$4)</f>
        <v>Part 3 Flat steel 6x80</v>
      </c>
      <c r="C33" s="101"/>
      <c r="D33" s="101"/>
      <c r="E33" s="224">
        <f>'Part 3'!$F$9</f>
        <v>1</v>
      </c>
      <c r="F33" s="101">
        <f>'Part 3'!$G$28</f>
        <v>0</v>
      </c>
      <c r="G33" s="101">
        <f t="shared" si="2"/>
        <v>0</v>
      </c>
      <c r="H33" s="101">
        <f>'Part 3'!$H$28</f>
        <v>0</v>
      </c>
      <c r="I33" s="89">
        <f t="shared" si="3"/>
        <v>0</v>
      </c>
      <c r="J33" s="89"/>
      <c r="K33" s="91"/>
      <c r="L33" s="92"/>
      <c r="M33" s="129"/>
      <c r="N33" s="38"/>
      <c r="O33" s="38"/>
      <c r="P33" s="38"/>
    </row>
    <row r="34" spans="1:16" ht="12" customHeight="1">
      <c r="A34" s="172"/>
      <c r="B34" s="109" t="str">
        <f>CONCATENATE("Part 4 ",'Part 4'!$F$4)</f>
        <v>Part 4 Round bar 18</v>
      </c>
      <c r="C34" s="101"/>
      <c r="D34" s="101"/>
      <c r="E34" s="224">
        <f>'Part 4'!$F$9</f>
        <v>1</v>
      </c>
      <c r="F34" s="101">
        <f>'Part 4'!$G$28</f>
        <v>0</v>
      </c>
      <c r="G34" s="101">
        <f t="shared" si="2"/>
        <v>0</v>
      </c>
      <c r="H34" s="101">
        <f>'Part 4'!$H$28</f>
        <v>0</v>
      </c>
      <c r="I34" s="89">
        <f t="shared" si="3"/>
        <v>0</v>
      </c>
      <c r="J34" s="89"/>
      <c r="K34" s="91"/>
      <c r="L34" s="92"/>
      <c r="M34" s="129"/>
      <c r="N34" s="38"/>
      <c r="O34" s="38"/>
      <c r="P34" s="38"/>
    </row>
    <row r="35" spans="1:16" ht="12" customHeight="1">
      <c r="A35" s="172"/>
      <c r="B35" s="109" t="str">
        <f>CONCATENATE("Part 5 ",'Part 5'!$F$4)</f>
        <v>Part 5 L50x20x4 -750</v>
      </c>
      <c r="C35" s="101"/>
      <c r="D35" s="101"/>
      <c r="E35" s="224">
        <f>'Part 5'!$F$9</f>
        <v>2</v>
      </c>
      <c r="F35" s="101">
        <f>'Part 5'!$G$28</f>
        <v>0.38999999999999996</v>
      </c>
      <c r="G35" s="101">
        <f t="shared" si="2"/>
        <v>0.7799999999999999</v>
      </c>
      <c r="H35" s="101">
        <f>'Part 5'!$H$28</f>
        <v>1.08</v>
      </c>
      <c r="I35" s="89">
        <f t="shared" si="3"/>
        <v>0.8423999999999999</v>
      </c>
      <c r="J35" s="89"/>
      <c r="K35" s="91"/>
      <c r="L35" s="92"/>
      <c r="M35" s="129"/>
      <c r="N35" s="38"/>
      <c r="O35" s="38"/>
      <c r="P35" s="38"/>
    </row>
    <row r="36" spans="1:16" ht="12" customHeight="1">
      <c r="A36" s="172"/>
      <c r="B36" s="109" t="str">
        <f>CONCATENATE("Part 6 ",'Part 6'!$F$4)</f>
        <v>Part 6 Putki 25x3 -50</v>
      </c>
      <c r="C36" s="101"/>
      <c r="D36" s="101"/>
      <c r="E36" s="224">
        <f>'Part 6'!$F$9</f>
        <v>4</v>
      </c>
      <c r="F36" s="101">
        <f>'Part 6'!$G$28</f>
        <v>0</v>
      </c>
      <c r="G36" s="101">
        <f t="shared" si="2"/>
        <v>0</v>
      </c>
      <c r="H36" s="101">
        <f>'Part 6'!$H$28</f>
        <v>0</v>
      </c>
      <c r="I36" s="89">
        <f t="shared" si="3"/>
        <v>0</v>
      </c>
      <c r="J36" s="89"/>
      <c r="K36" s="91"/>
      <c r="L36" s="92"/>
      <c r="M36" s="129"/>
      <c r="N36" s="38"/>
      <c r="O36" s="38"/>
      <c r="P36" s="38"/>
    </row>
    <row r="37" spans="1:16" ht="12" customHeight="1">
      <c r="A37" s="172"/>
      <c r="B37" s="109" t="str">
        <f>CONCATENATE("Part 7 ",'Part 7'!$F$4)</f>
        <v>Part 7 Round plate</v>
      </c>
      <c r="C37" s="101"/>
      <c r="D37" s="101"/>
      <c r="E37" s="224">
        <f>'Part 7'!$F$9</f>
        <v>2</v>
      </c>
      <c r="F37" s="101">
        <f>'Part 7'!$G$28</f>
        <v>0</v>
      </c>
      <c r="G37" s="101">
        <f t="shared" si="2"/>
        <v>0</v>
      </c>
      <c r="H37" s="101">
        <f>'Part 7'!$H$28</f>
        <v>0</v>
      </c>
      <c r="I37" s="89">
        <f t="shared" si="3"/>
        <v>0</v>
      </c>
      <c r="J37" s="89"/>
      <c r="K37" s="91"/>
      <c r="L37" s="92"/>
      <c r="M37" s="129"/>
      <c r="N37" s="38"/>
      <c r="O37" s="38"/>
      <c r="P37" s="38"/>
    </row>
    <row r="38" spans="1:16" ht="12" customHeight="1">
      <c r="A38" s="172"/>
      <c r="B38" s="109" t="str">
        <f>CONCATENATE("Part 8 ",'Part 8'!$F$4)</f>
        <v>Part 8 L-bar 40x60x6 -750</v>
      </c>
      <c r="C38" s="101"/>
      <c r="D38" s="101"/>
      <c r="E38" s="224">
        <f>'Part 8'!$F$9</f>
        <v>2</v>
      </c>
      <c r="F38" s="101">
        <f>'Part 8'!$G$28</f>
        <v>0</v>
      </c>
      <c r="G38" s="101">
        <f t="shared" si="2"/>
        <v>0</v>
      </c>
      <c r="H38" s="101">
        <f>'Part 8'!$H$28</f>
        <v>0</v>
      </c>
      <c r="I38" s="89">
        <f t="shared" si="3"/>
        <v>0</v>
      </c>
      <c r="J38" s="89"/>
      <c r="K38" s="91"/>
      <c r="L38" s="92"/>
      <c r="M38" s="129"/>
      <c r="N38" s="38"/>
      <c r="O38" s="38"/>
      <c r="P38" s="38"/>
    </row>
    <row r="39" spans="1:16" ht="12" customHeight="1">
      <c r="A39" s="172"/>
      <c r="B39" s="109" t="str">
        <f>CONCATENATE("Part 9 ",'Part 9'!$F$4)</f>
        <v>Part 9 Tube rings</v>
      </c>
      <c r="C39" s="101"/>
      <c r="D39" s="101"/>
      <c r="E39" s="224">
        <f>'Part 9'!$F$9</f>
        <v>2</v>
      </c>
      <c r="F39" s="101">
        <f>'Part 9'!$G$28</f>
        <v>0</v>
      </c>
      <c r="G39" s="101">
        <f>(E39*F39)</f>
        <v>0</v>
      </c>
      <c r="H39" s="101">
        <f>'Part 9'!$H$28</f>
        <v>0</v>
      </c>
      <c r="I39" s="89">
        <f>(G39*H39)</f>
        <v>0</v>
      </c>
      <c r="J39" s="89"/>
      <c r="K39" s="91"/>
      <c r="L39" s="92"/>
      <c r="M39" s="129"/>
      <c r="N39" s="38"/>
      <c r="O39" s="38"/>
      <c r="P39" s="38"/>
    </row>
    <row r="40" spans="1:16" ht="12" customHeight="1">
      <c r="A40" s="172"/>
      <c r="B40" s="73" t="s">
        <v>3</v>
      </c>
      <c r="C40" s="29">
        <v>14</v>
      </c>
      <c r="D40" s="29">
        <v>0.7</v>
      </c>
      <c r="E40" s="226">
        <v>1</v>
      </c>
      <c r="F40" s="189">
        <f>D40*C40</f>
        <v>9.799999999999999</v>
      </c>
      <c r="G40" s="101">
        <f t="shared" si="2"/>
        <v>9.799999999999999</v>
      </c>
      <c r="H40" s="189">
        <v>1.05</v>
      </c>
      <c r="I40" s="89">
        <f t="shared" si="3"/>
        <v>10.29</v>
      </c>
      <c r="J40" s="89"/>
      <c r="K40" s="91"/>
      <c r="L40" s="92"/>
      <c r="M40" s="129"/>
      <c r="N40" s="38"/>
      <c r="O40" s="38"/>
      <c r="P40" s="38"/>
    </row>
    <row r="41" spans="1:16" ht="12" customHeight="1">
      <c r="A41" s="172"/>
      <c r="B41" s="73" t="s">
        <v>160</v>
      </c>
      <c r="C41" s="29"/>
      <c r="D41" s="29"/>
      <c r="E41" s="226">
        <v>2</v>
      </c>
      <c r="F41" s="189">
        <f>25/5</f>
        <v>5</v>
      </c>
      <c r="G41" s="101">
        <f t="shared" si="2"/>
        <v>10</v>
      </c>
      <c r="H41" s="189">
        <v>1.05</v>
      </c>
      <c r="I41" s="89">
        <f t="shared" si="3"/>
        <v>10.5</v>
      </c>
      <c r="J41" s="89"/>
      <c r="K41" s="91"/>
      <c r="L41" s="92"/>
      <c r="M41" s="129"/>
      <c r="N41" s="38"/>
      <c r="O41" s="38"/>
      <c r="P41" s="38"/>
    </row>
    <row r="42" spans="1:16" ht="12" customHeight="1">
      <c r="A42" s="172"/>
      <c r="B42" s="73"/>
      <c r="C42" s="29"/>
      <c r="D42" s="29"/>
      <c r="E42" s="226"/>
      <c r="F42" s="189"/>
      <c r="G42" s="101">
        <f t="shared" si="2"/>
        <v>0</v>
      </c>
      <c r="H42" s="189">
        <v>1.05</v>
      </c>
      <c r="I42" s="89">
        <f t="shared" si="3"/>
        <v>0</v>
      </c>
      <c r="J42" s="89"/>
      <c r="K42" s="91"/>
      <c r="L42" s="92"/>
      <c r="M42" s="129"/>
      <c r="N42" s="38"/>
      <c r="O42" s="38"/>
      <c r="P42" s="38"/>
    </row>
    <row r="43" spans="1:16" ht="12" customHeight="1">
      <c r="A43" s="172"/>
      <c r="B43" s="73" t="s">
        <v>9</v>
      </c>
      <c r="C43" s="29">
        <v>0.1</v>
      </c>
      <c r="D43" s="29">
        <v>10</v>
      </c>
      <c r="E43" s="226">
        <v>4</v>
      </c>
      <c r="F43" s="189">
        <f>D43*C43</f>
        <v>1</v>
      </c>
      <c r="G43" s="101">
        <f>(E43*F43)</f>
        <v>4</v>
      </c>
      <c r="H43" s="189">
        <v>1.05</v>
      </c>
      <c r="I43" s="89">
        <f>(G43*H43)</f>
        <v>4.2</v>
      </c>
      <c r="J43" s="89"/>
      <c r="K43" s="91"/>
      <c r="L43" s="92"/>
      <c r="M43" s="129"/>
      <c r="N43" s="38"/>
      <c r="O43" s="38"/>
      <c r="P43" s="38"/>
    </row>
    <row r="44" spans="1:16" ht="12" customHeight="1">
      <c r="A44" s="172"/>
      <c r="B44" s="73" t="s">
        <v>10</v>
      </c>
      <c r="C44" s="29">
        <v>0.02</v>
      </c>
      <c r="D44" s="29">
        <v>10</v>
      </c>
      <c r="E44" s="226">
        <v>12</v>
      </c>
      <c r="F44" s="189">
        <f>D44*C44</f>
        <v>0.2</v>
      </c>
      <c r="G44" s="101">
        <f t="shared" si="2"/>
        <v>2.4000000000000004</v>
      </c>
      <c r="H44" s="189">
        <v>1.05</v>
      </c>
      <c r="I44" s="89">
        <f t="shared" si="3"/>
        <v>2.5200000000000005</v>
      </c>
      <c r="J44" s="89"/>
      <c r="K44" s="91"/>
      <c r="L44" s="92"/>
      <c r="M44" s="129"/>
      <c r="N44" s="38"/>
      <c r="O44" s="38"/>
      <c r="P44" s="38"/>
    </row>
    <row r="45" spans="1:16" ht="12" customHeight="1">
      <c r="A45" s="172"/>
      <c r="B45" s="73" t="s">
        <v>11</v>
      </c>
      <c r="C45" s="29"/>
      <c r="D45" s="29"/>
      <c r="E45" s="226">
        <v>12</v>
      </c>
      <c r="F45" s="189">
        <v>0.08</v>
      </c>
      <c r="G45" s="101">
        <f t="shared" si="2"/>
        <v>0.96</v>
      </c>
      <c r="H45" s="189">
        <v>1.05</v>
      </c>
      <c r="I45" s="89">
        <f t="shared" si="3"/>
        <v>1.008</v>
      </c>
      <c r="J45" s="89"/>
      <c r="K45" s="91"/>
      <c r="L45" s="92"/>
      <c r="M45" s="129"/>
      <c r="N45" s="38"/>
      <c r="O45" s="38"/>
      <c r="P45" s="38"/>
    </row>
    <row r="46" spans="1:16" ht="12" customHeight="1">
      <c r="A46" s="172"/>
      <c r="B46" s="73" t="s">
        <v>12</v>
      </c>
      <c r="C46" s="29">
        <v>0.06</v>
      </c>
      <c r="D46" s="29">
        <v>10</v>
      </c>
      <c r="E46" s="226">
        <v>8</v>
      </c>
      <c r="F46" s="189">
        <f>D46*C46</f>
        <v>0.6</v>
      </c>
      <c r="G46" s="101">
        <f t="shared" si="2"/>
        <v>4.8</v>
      </c>
      <c r="H46" s="189">
        <v>1.05</v>
      </c>
      <c r="I46" s="89">
        <f t="shared" si="3"/>
        <v>5.04</v>
      </c>
      <c r="J46" s="89"/>
      <c r="K46" s="91"/>
      <c r="L46" s="92"/>
      <c r="M46" s="129"/>
      <c r="N46" s="38"/>
      <c r="O46" s="38"/>
      <c r="P46" s="38"/>
    </row>
    <row r="47" spans="1:16" ht="12" customHeight="1">
      <c r="A47" s="172"/>
      <c r="B47" s="73"/>
      <c r="C47" s="29"/>
      <c r="D47" s="29"/>
      <c r="E47" s="226"/>
      <c r="F47" s="189"/>
      <c r="G47" s="101">
        <f t="shared" si="2"/>
        <v>0</v>
      </c>
      <c r="H47" s="189">
        <v>1.05</v>
      </c>
      <c r="I47" s="89">
        <f t="shared" si="3"/>
        <v>0</v>
      </c>
      <c r="J47" s="89"/>
      <c r="K47" s="91"/>
      <c r="L47" s="92"/>
      <c r="M47" s="129"/>
      <c r="N47" s="38"/>
      <c r="O47" s="38"/>
      <c r="P47" s="38"/>
    </row>
    <row r="48" spans="1:16" ht="12" customHeight="1">
      <c r="A48" s="172"/>
      <c r="B48" s="73" t="s">
        <v>158</v>
      </c>
      <c r="C48" s="29">
        <v>0.75</v>
      </c>
      <c r="D48" s="29">
        <v>18</v>
      </c>
      <c r="E48" s="226">
        <v>2</v>
      </c>
      <c r="F48" s="189">
        <f>D48*C48</f>
        <v>13.5</v>
      </c>
      <c r="G48" s="101">
        <f t="shared" si="2"/>
        <v>27</v>
      </c>
      <c r="H48" s="189">
        <v>1.1</v>
      </c>
      <c r="I48" s="89">
        <f t="shared" si="3"/>
        <v>29.700000000000003</v>
      </c>
      <c r="J48" s="89"/>
      <c r="K48" s="91"/>
      <c r="L48" s="92"/>
      <c r="M48" s="129"/>
      <c r="N48" s="38"/>
      <c r="O48" s="38"/>
      <c r="P48" s="38"/>
    </row>
    <row r="49" spans="1:16" ht="12" customHeight="1">
      <c r="A49" s="172"/>
      <c r="B49" s="73" t="s">
        <v>13</v>
      </c>
      <c r="C49" s="29"/>
      <c r="D49" s="29"/>
      <c r="E49" s="226">
        <v>1</v>
      </c>
      <c r="F49" s="189">
        <v>3</v>
      </c>
      <c r="G49" s="101">
        <f t="shared" si="2"/>
        <v>3</v>
      </c>
      <c r="H49" s="189">
        <v>1.05</v>
      </c>
      <c r="I49" s="89">
        <f t="shared" si="3"/>
        <v>3.1500000000000004</v>
      </c>
      <c r="J49" s="89"/>
      <c r="K49" s="91" t="s">
        <v>107</v>
      </c>
      <c r="L49" s="92">
        <f>(J52-G52)*$K$7</f>
        <v>45.741000000000156</v>
      </c>
      <c r="M49" s="129"/>
      <c r="N49" s="38"/>
      <c r="O49" s="38"/>
      <c r="P49" s="38"/>
    </row>
    <row r="50" spans="1:16" ht="12" customHeight="1" thickBot="1">
      <c r="A50" s="172"/>
      <c r="B50" s="73" t="s">
        <v>18</v>
      </c>
      <c r="C50" s="29"/>
      <c r="D50" s="29"/>
      <c r="E50" s="226">
        <v>1</v>
      </c>
      <c r="F50" s="189">
        <v>0.25</v>
      </c>
      <c r="G50" s="101">
        <f t="shared" si="2"/>
        <v>0.25</v>
      </c>
      <c r="H50" s="189">
        <v>1.05</v>
      </c>
      <c r="I50" s="89">
        <f t="shared" si="3"/>
        <v>0.2625</v>
      </c>
      <c r="J50" s="89"/>
      <c r="K50" s="91" t="s">
        <v>118</v>
      </c>
      <c r="L50" s="92">
        <f>(L52-J52)*$K$7</f>
        <v>35.89689473684217</v>
      </c>
      <c r="M50" s="129"/>
      <c r="N50" s="38"/>
      <c r="O50" s="38"/>
      <c r="P50" s="38"/>
    </row>
    <row r="51" spans="1:16" ht="12" customHeight="1">
      <c r="A51" s="172"/>
      <c r="B51" s="73"/>
      <c r="C51" s="29"/>
      <c r="D51" s="29"/>
      <c r="E51" s="226"/>
      <c r="F51" s="189"/>
      <c r="G51" s="101">
        <f t="shared" si="2"/>
        <v>0</v>
      </c>
      <c r="H51" s="189">
        <v>1.05</v>
      </c>
      <c r="I51" s="89">
        <f t="shared" si="3"/>
        <v>0</v>
      </c>
      <c r="J51" s="90"/>
      <c r="K51" s="93" t="s">
        <v>117</v>
      </c>
      <c r="L51" s="99">
        <f>IF(L10&lt;&gt;0,L52/L10,"?")</f>
        <v>0.46602723344075997</v>
      </c>
      <c r="M51" s="129"/>
      <c r="N51" s="38"/>
      <c r="O51" s="38"/>
      <c r="P51" s="38"/>
    </row>
    <row r="52" spans="1:14" ht="12.75" customHeight="1" thickBot="1">
      <c r="A52" s="173"/>
      <c r="B52" s="140" t="s">
        <v>120</v>
      </c>
      <c r="C52" s="141">
        <v>18</v>
      </c>
      <c r="D52" s="141"/>
      <c r="E52" s="141"/>
      <c r="F52" s="141"/>
      <c r="G52" s="141">
        <f>SUM(G31:G51)</f>
        <v>63.629999999999995</v>
      </c>
      <c r="H52" s="141">
        <f>IF(G52&lt;&gt;0,I52/G52,0)</f>
        <v>1.0718859028760022</v>
      </c>
      <c r="I52" s="141">
        <f>SUM(I31:I51)</f>
        <v>68.20410000000001</v>
      </c>
      <c r="J52" s="142">
        <f>SUM(I31:I51)</f>
        <v>68.20410000000001</v>
      </c>
      <c r="K52" s="208">
        <v>0.05</v>
      </c>
      <c r="L52" s="143">
        <f>J52/(1-K52)</f>
        <v>71.79378947368423</v>
      </c>
      <c r="M52" s="130"/>
      <c r="N52" s="203">
        <f>G52</f>
        <v>63.629999999999995</v>
      </c>
    </row>
    <row r="53" spans="1:13" ht="5.25" customHeight="1" thickBot="1">
      <c r="A53" s="172"/>
      <c r="B53" s="17"/>
      <c r="C53" s="56"/>
      <c r="D53" s="56"/>
      <c r="E53" s="148"/>
      <c r="F53" s="56"/>
      <c r="G53" s="149"/>
      <c r="H53" s="152"/>
      <c r="I53" s="58"/>
      <c r="J53" s="56"/>
      <c r="K53" s="150"/>
      <c r="L53" s="153"/>
      <c r="M53" s="129"/>
    </row>
    <row r="54" spans="1:13" ht="24.75" customHeight="1">
      <c r="A54" s="172"/>
      <c r="B54" s="24" t="s">
        <v>83</v>
      </c>
      <c r="C54" s="210" t="s">
        <v>77</v>
      </c>
      <c r="D54" s="210" t="s">
        <v>26</v>
      </c>
      <c r="E54" s="211" t="s">
        <v>121</v>
      </c>
      <c r="F54" s="210" t="s">
        <v>25</v>
      </c>
      <c r="G54" s="31" t="s">
        <v>78</v>
      </c>
      <c r="H54" s="212" t="s">
        <v>106</v>
      </c>
      <c r="I54" s="210" t="s">
        <v>76</v>
      </c>
      <c r="J54" s="211" t="s">
        <v>93</v>
      </c>
      <c r="K54" s="34" t="s">
        <v>102</v>
      </c>
      <c r="L54" s="35" t="s">
        <v>81</v>
      </c>
      <c r="M54" s="129"/>
    </row>
    <row r="55" spans="1:13" ht="12" customHeight="1">
      <c r="A55" s="172"/>
      <c r="B55" s="109" t="str">
        <f>CONCATENATE("Osa 1 ",'Part 1'!$F$4)</f>
        <v>Osa 1 Flat steel</v>
      </c>
      <c r="C55" s="101">
        <f>'Part 1'!$F$9</f>
        <v>4</v>
      </c>
      <c r="D55" s="101">
        <f>'Part 1'!$E$45</f>
        <v>0</v>
      </c>
      <c r="E55" s="96">
        <f aca="true" t="shared" si="4" ref="E55:E76">C55*D55</f>
        <v>0</v>
      </c>
      <c r="F55" s="101">
        <f>'Part 1'!$F$45</f>
        <v>0</v>
      </c>
      <c r="G55" s="101">
        <f aca="true" t="shared" si="5" ref="G55:G62">E55/60*F55</f>
        <v>0</v>
      </c>
      <c r="H55" s="101">
        <f>'Part 1'!$H$45</f>
        <v>0</v>
      </c>
      <c r="I55" s="89">
        <f aca="true" t="shared" si="6" ref="I55:I62">(G55*H55)</f>
        <v>0</v>
      </c>
      <c r="J55" s="89"/>
      <c r="K55" s="97"/>
      <c r="L55" s="98"/>
      <c r="M55" s="129"/>
    </row>
    <row r="56" spans="1:13" ht="12" customHeight="1">
      <c r="A56" s="172"/>
      <c r="B56" s="109" t="str">
        <f>CONCATENATE("Osa 2 ",'Part 2'!$F$4)</f>
        <v>Osa 2 Tube 25,3 x 3</v>
      </c>
      <c r="C56" s="101">
        <f>'Part 2'!$F$9</f>
        <v>1</v>
      </c>
      <c r="D56" s="101">
        <f>'Part 2'!$E$45</f>
        <v>3.0999999999999996</v>
      </c>
      <c r="E56" s="96">
        <f t="shared" si="4"/>
        <v>3.0999999999999996</v>
      </c>
      <c r="F56" s="101">
        <f>'Part 2'!$F$45</f>
        <v>28.000000000000004</v>
      </c>
      <c r="G56" s="101">
        <f t="shared" si="5"/>
        <v>1.4466666666666665</v>
      </c>
      <c r="H56" s="101">
        <f>'Part 2'!$H$45</f>
        <v>1</v>
      </c>
      <c r="I56" s="89">
        <f t="shared" si="6"/>
        <v>1.4466666666666665</v>
      </c>
      <c r="J56" s="89"/>
      <c r="K56" s="97"/>
      <c r="L56" s="98"/>
      <c r="M56" s="129"/>
    </row>
    <row r="57" spans="1:13" ht="12" customHeight="1">
      <c r="A57" s="172"/>
      <c r="B57" s="109" t="str">
        <f>CONCATENATE("Osa 3 ",'Part 3'!$F$4)</f>
        <v>Osa 3 Flat steel 6x80</v>
      </c>
      <c r="C57" s="101">
        <f>'Part 3'!$F$9</f>
        <v>1</v>
      </c>
      <c r="D57" s="101">
        <f>'Part 3'!$E$45</f>
        <v>6.1</v>
      </c>
      <c r="E57" s="96">
        <f t="shared" si="4"/>
        <v>6.1</v>
      </c>
      <c r="F57" s="101">
        <f>'Part 3'!$F$45</f>
        <v>28.459016393442628</v>
      </c>
      <c r="G57" s="101">
        <f t="shared" si="5"/>
        <v>2.8933333333333335</v>
      </c>
      <c r="H57" s="101">
        <f>'Part 3'!$H$45</f>
        <v>1</v>
      </c>
      <c r="I57" s="89">
        <f t="shared" si="6"/>
        <v>2.8933333333333335</v>
      </c>
      <c r="J57" s="89"/>
      <c r="K57" s="97"/>
      <c r="L57" s="98"/>
      <c r="M57" s="129"/>
    </row>
    <row r="58" spans="1:13" ht="12" customHeight="1">
      <c r="A58" s="172"/>
      <c r="B58" s="109" t="str">
        <f>CONCATENATE("Osa 4 ",'Part 4'!$F$4)</f>
        <v>Osa 4 Round bar 18</v>
      </c>
      <c r="C58" s="101">
        <f>'Part 4'!$F$9</f>
        <v>1</v>
      </c>
      <c r="D58" s="101">
        <f>'Part 4'!$E$45</f>
        <v>2</v>
      </c>
      <c r="E58" s="96">
        <f t="shared" si="4"/>
        <v>2</v>
      </c>
      <c r="F58" s="101">
        <f>'Part 4'!$F$45</f>
        <v>28</v>
      </c>
      <c r="G58" s="101">
        <f t="shared" si="5"/>
        <v>0.9333333333333333</v>
      </c>
      <c r="H58" s="101">
        <f>'Part 4'!$H$45</f>
        <v>1</v>
      </c>
      <c r="I58" s="89">
        <f t="shared" si="6"/>
        <v>0.9333333333333333</v>
      </c>
      <c r="J58" s="89"/>
      <c r="K58" s="97"/>
      <c r="L58" s="98"/>
      <c r="M58" s="129"/>
    </row>
    <row r="59" spans="1:13" ht="12" customHeight="1">
      <c r="A59" s="172"/>
      <c r="B59" s="109" t="str">
        <f>CONCATENATE("Osa 5 ",'Part 5'!$F$4)</f>
        <v>Osa 5 L50x20x4 -750</v>
      </c>
      <c r="C59" s="101">
        <f>'Part 5'!$F$9</f>
        <v>2</v>
      </c>
      <c r="D59" s="101">
        <f>'Part 5'!$E$45</f>
        <v>1.5</v>
      </c>
      <c r="E59" s="96">
        <f t="shared" si="4"/>
        <v>3</v>
      </c>
      <c r="F59" s="101">
        <f>'Part 5'!$F$45</f>
        <v>29.666666666666668</v>
      </c>
      <c r="G59" s="101">
        <f t="shared" si="5"/>
        <v>1.4833333333333334</v>
      </c>
      <c r="H59" s="101">
        <f>'Part 5'!$H$45</f>
        <v>1</v>
      </c>
      <c r="I59" s="89">
        <f t="shared" si="6"/>
        <v>1.4833333333333334</v>
      </c>
      <c r="J59" s="89"/>
      <c r="K59" s="97"/>
      <c r="L59" s="98"/>
      <c r="M59" s="129"/>
    </row>
    <row r="60" spans="1:13" ht="12" customHeight="1">
      <c r="A60" s="172"/>
      <c r="B60" s="109" t="str">
        <f>CONCATENATE("Osa 6 ",'Part 6'!$F$4)</f>
        <v>Osa 6 Putki 25x3 -50</v>
      </c>
      <c r="C60" s="101">
        <f>'Part 6'!$F$9</f>
        <v>4</v>
      </c>
      <c r="D60" s="101">
        <f>'Part 6'!$E$45</f>
        <v>1.5</v>
      </c>
      <c r="E60" s="96">
        <f t="shared" si="4"/>
        <v>6</v>
      </c>
      <c r="F60" s="101">
        <f>'Part 6'!$F$45</f>
        <v>27.999999999999996</v>
      </c>
      <c r="G60" s="101">
        <f t="shared" si="5"/>
        <v>2.8</v>
      </c>
      <c r="H60" s="101">
        <f>'Part 6'!$H$45</f>
        <v>1</v>
      </c>
      <c r="I60" s="89">
        <f t="shared" si="6"/>
        <v>2.8</v>
      </c>
      <c r="J60" s="89"/>
      <c r="K60" s="97"/>
      <c r="L60" s="98"/>
      <c r="M60" s="129"/>
    </row>
    <row r="61" spans="1:13" ht="12" customHeight="1">
      <c r="A61" s="172"/>
      <c r="B61" s="109" t="str">
        <f>CONCATENATE("Osa 7 ",'Part 7'!$F$4)</f>
        <v>Osa 7 Round plate</v>
      </c>
      <c r="C61" s="101">
        <f>'Part 7'!$F$9</f>
        <v>2</v>
      </c>
      <c r="D61" s="101">
        <f>'Part 7'!$E$45</f>
        <v>0</v>
      </c>
      <c r="E61" s="96">
        <f t="shared" si="4"/>
        <v>0</v>
      </c>
      <c r="F61" s="101">
        <f>'Part 7'!$F$45</f>
        <v>0</v>
      </c>
      <c r="G61" s="101">
        <f t="shared" si="5"/>
        <v>0</v>
      </c>
      <c r="H61" s="101">
        <f>'Part 7'!$H$45</f>
        <v>0</v>
      </c>
      <c r="I61" s="89">
        <f t="shared" si="6"/>
        <v>0</v>
      </c>
      <c r="J61" s="89"/>
      <c r="K61" s="97"/>
      <c r="L61" s="98"/>
      <c r="M61" s="129"/>
    </row>
    <row r="62" spans="1:13" ht="12" customHeight="1">
      <c r="A62" s="172"/>
      <c r="B62" s="109" t="str">
        <f>CONCATENATE("Osa 8 ",'Part 8'!$F$4)</f>
        <v>Osa 8 L-bar 40x60x6 -750</v>
      </c>
      <c r="C62" s="101">
        <f>'Part 8'!$F$9</f>
        <v>2</v>
      </c>
      <c r="D62" s="101">
        <f>'Part 8'!$E$45</f>
        <v>6.9</v>
      </c>
      <c r="E62" s="96">
        <f t="shared" si="4"/>
        <v>13.8</v>
      </c>
      <c r="F62" s="101">
        <f>'Part 8'!$F$45</f>
        <v>27.999999999999996</v>
      </c>
      <c r="G62" s="101">
        <f t="shared" si="5"/>
        <v>6.4399999999999995</v>
      </c>
      <c r="H62" s="101">
        <f>'Part 8'!$H$45</f>
        <v>1</v>
      </c>
      <c r="I62" s="89">
        <f t="shared" si="6"/>
        <v>6.4399999999999995</v>
      </c>
      <c r="J62" s="89"/>
      <c r="K62" s="97"/>
      <c r="L62" s="98"/>
      <c r="M62" s="129"/>
    </row>
    <row r="63" spans="1:13" ht="12" customHeight="1">
      <c r="A63" s="172"/>
      <c r="B63" s="109" t="str">
        <f>CONCATENATE("Osa 9 ",'Part 9'!$F$4)</f>
        <v>Osa 9 Tube rings</v>
      </c>
      <c r="C63" s="101">
        <f>'Part 9'!$F$9</f>
        <v>2</v>
      </c>
      <c r="D63" s="101">
        <f>'Part 9'!$E$45</f>
        <v>0.75</v>
      </c>
      <c r="E63" s="96">
        <f>C63*D63</f>
        <v>1.5</v>
      </c>
      <c r="F63" s="101">
        <f>'Part 9'!$F$45</f>
        <v>27.999999999999996</v>
      </c>
      <c r="G63" s="101">
        <f>E63/60*F63</f>
        <v>0.7</v>
      </c>
      <c r="H63" s="101">
        <f>'Part 9'!$H$45</f>
        <v>1</v>
      </c>
      <c r="I63" s="89">
        <f aca="true" t="shared" si="7" ref="I63:I76">(G63*H63)</f>
        <v>0.7</v>
      </c>
      <c r="J63" s="89"/>
      <c r="K63" s="97"/>
      <c r="L63" s="98"/>
      <c r="M63" s="129"/>
    </row>
    <row r="64" spans="1:13" ht="12" customHeight="1">
      <c r="A64" s="172"/>
      <c r="B64" s="73" t="s">
        <v>159</v>
      </c>
      <c r="C64" s="189">
        <v>1</v>
      </c>
      <c r="D64" s="189">
        <v>11</v>
      </c>
      <c r="E64" s="96">
        <f t="shared" si="4"/>
        <v>11</v>
      </c>
      <c r="F64" s="189">
        <v>28</v>
      </c>
      <c r="G64" s="101">
        <f aca="true" t="shared" si="8" ref="G64:G76">E64/60*F64</f>
        <v>5.133333333333333</v>
      </c>
      <c r="H64" s="189">
        <v>1</v>
      </c>
      <c r="I64" s="89">
        <f t="shared" si="7"/>
        <v>5.133333333333333</v>
      </c>
      <c r="J64" s="89"/>
      <c r="K64" s="97"/>
      <c r="L64" s="98"/>
      <c r="M64" s="129"/>
    </row>
    <row r="65" spans="1:13" ht="12" customHeight="1">
      <c r="A65" s="172"/>
      <c r="B65" s="73"/>
      <c r="C65" s="189">
        <v>1</v>
      </c>
      <c r="D65" s="189">
        <v>0</v>
      </c>
      <c r="E65" s="96">
        <f t="shared" si="4"/>
        <v>0</v>
      </c>
      <c r="F65" s="189">
        <v>0</v>
      </c>
      <c r="G65" s="101">
        <f t="shared" si="8"/>
        <v>0</v>
      </c>
      <c r="H65" s="189">
        <v>1</v>
      </c>
      <c r="I65" s="89">
        <f t="shared" si="7"/>
        <v>0</v>
      </c>
      <c r="J65" s="89"/>
      <c r="K65" s="97"/>
      <c r="L65" s="98"/>
      <c r="M65" s="129"/>
    </row>
    <row r="66" spans="1:13" ht="12" customHeight="1">
      <c r="A66" s="172"/>
      <c r="B66" s="73" t="s">
        <v>14</v>
      </c>
      <c r="C66" s="189">
        <v>1</v>
      </c>
      <c r="D66" s="189">
        <v>9</v>
      </c>
      <c r="E66" s="96">
        <f t="shared" si="4"/>
        <v>9</v>
      </c>
      <c r="F66" s="189">
        <v>28</v>
      </c>
      <c r="G66" s="101">
        <f t="shared" si="8"/>
        <v>4.2</v>
      </c>
      <c r="H66" s="189">
        <v>1</v>
      </c>
      <c r="I66" s="89">
        <f t="shared" si="7"/>
        <v>4.2</v>
      </c>
      <c r="J66" s="89"/>
      <c r="K66" s="97"/>
      <c r="L66" s="98"/>
      <c r="M66" s="129"/>
    </row>
    <row r="67" spans="1:13" ht="12" customHeight="1">
      <c r="A67" s="172"/>
      <c r="B67" s="73" t="s">
        <v>135</v>
      </c>
      <c r="C67" s="189">
        <v>1</v>
      </c>
      <c r="D67" s="189">
        <f>30/K7</f>
        <v>3</v>
      </c>
      <c r="E67" s="96">
        <f t="shared" si="4"/>
        <v>3</v>
      </c>
      <c r="F67" s="189">
        <v>28</v>
      </c>
      <c r="G67" s="101">
        <f>E67/60*F67</f>
        <v>1.4000000000000001</v>
      </c>
      <c r="H67" s="189">
        <v>1</v>
      </c>
      <c r="I67" s="89">
        <f>(G67*H67)</f>
        <v>1.4000000000000001</v>
      </c>
      <c r="J67" s="89"/>
      <c r="K67" s="97"/>
      <c r="L67" s="98"/>
      <c r="M67" s="129"/>
    </row>
    <row r="68" spans="1:13" ht="12" customHeight="1">
      <c r="A68" s="172"/>
      <c r="B68" s="73"/>
      <c r="C68" s="189">
        <v>1</v>
      </c>
      <c r="D68" s="189">
        <v>0</v>
      </c>
      <c r="E68" s="96">
        <f t="shared" si="4"/>
        <v>0</v>
      </c>
      <c r="F68" s="189">
        <v>0</v>
      </c>
      <c r="G68" s="101">
        <f>E68/60*F68</f>
        <v>0</v>
      </c>
      <c r="H68" s="189">
        <v>1</v>
      </c>
      <c r="I68" s="89">
        <f>(G68*H68)</f>
        <v>0</v>
      </c>
      <c r="J68" s="89"/>
      <c r="K68" s="97"/>
      <c r="L68" s="98"/>
      <c r="M68" s="129"/>
    </row>
    <row r="69" spans="1:13" ht="12" customHeight="1">
      <c r="A69" s="172"/>
      <c r="B69" s="73" t="s">
        <v>19</v>
      </c>
      <c r="C69" s="189">
        <v>1</v>
      </c>
      <c r="D69" s="189">
        <v>1</v>
      </c>
      <c r="E69" s="96">
        <f t="shared" si="4"/>
        <v>1</v>
      </c>
      <c r="F69" s="189">
        <v>28</v>
      </c>
      <c r="G69" s="101">
        <f>E69/60*F69</f>
        <v>0.4666666666666667</v>
      </c>
      <c r="H69" s="189">
        <v>1</v>
      </c>
      <c r="I69" s="89">
        <f>(G69*H69)</f>
        <v>0.4666666666666667</v>
      </c>
      <c r="J69" s="89"/>
      <c r="K69" s="97"/>
      <c r="L69" s="98"/>
      <c r="M69" s="129"/>
    </row>
    <row r="70" spans="1:13" ht="12" customHeight="1">
      <c r="A70" s="172"/>
      <c r="B70" s="73"/>
      <c r="C70" s="189">
        <v>1</v>
      </c>
      <c r="D70" s="189">
        <v>0</v>
      </c>
      <c r="E70" s="96">
        <f t="shared" si="4"/>
        <v>0</v>
      </c>
      <c r="F70" s="189">
        <v>0</v>
      </c>
      <c r="G70" s="101">
        <f>E70/60*F70</f>
        <v>0</v>
      </c>
      <c r="H70" s="189">
        <v>1</v>
      </c>
      <c r="I70" s="89">
        <f>(G70*H70)</f>
        <v>0</v>
      </c>
      <c r="J70" s="89"/>
      <c r="K70" s="97"/>
      <c r="L70" s="98"/>
      <c r="M70" s="129"/>
    </row>
    <row r="71" spans="1:13" ht="12" customHeight="1">
      <c r="A71" s="172"/>
      <c r="B71" s="73"/>
      <c r="C71" s="189">
        <v>1</v>
      </c>
      <c r="D71" s="189">
        <v>0</v>
      </c>
      <c r="E71" s="96">
        <f t="shared" si="4"/>
        <v>0</v>
      </c>
      <c r="F71" s="189">
        <v>0</v>
      </c>
      <c r="G71" s="101">
        <f>E71/60*F71</f>
        <v>0</v>
      </c>
      <c r="H71" s="189">
        <v>1</v>
      </c>
      <c r="I71" s="89">
        <f>(G71*H71)</f>
        <v>0</v>
      </c>
      <c r="J71" s="89"/>
      <c r="K71" s="97"/>
      <c r="L71" s="98"/>
      <c r="M71" s="129"/>
    </row>
    <row r="72" spans="1:13" ht="12" customHeight="1">
      <c r="A72" s="172"/>
      <c r="B72" s="73"/>
      <c r="C72" s="189">
        <v>1</v>
      </c>
      <c r="D72" s="189">
        <v>0</v>
      </c>
      <c r="E72" s="96">
        <f t="shared" si="4"/>
        <v>0</v>
      </c>
      <c r="F72" s="189">
        <v>0</v>
      </c>
      <c r="G72" s="101">
        <f t="shared" si="8"/>
        <v>0</v>
      </c>
      <c r="H72" s="189">
        <v>1</v>
      </c>
      <c r="I72" s="89">
        <f t="shared" si="7"/>
        <v>0</v>
      </c>
      <c r="J72" s="89"/>
      <c r="K72" s="97"/>
      <c r="L72" s="98"/>
      <c r="M72" s="129"/>
    </row>
    <row r="73" spans="1:13" ht="12" customHeight="1">
      <c r="A73" s="172"/>
      <c r="B73" s="73"/>
      <c r="C73" s="189">
        <v>1</v>
      </c>
      <c r="D73" s="189">
        <v>0</v>
      </c>
      <c r="E73" s="96">
        <f t="shared" si="4"/>
        <v>0</v>
      </c>
      <c r="F73" s="189">
        <v>0</v>
      </c>
      <c r="G73" s="101">
        <f t="shared" si="8"/>
        <v>0</v>
      </c>
      <c r="H73" s="189">
        <v>1</v>
      </c>
      <c r="I73" s="89">
        <f t="shared" si="7"/>
        <v>0</v>
      </c>
      <c r="J73" s="89"/>
      <c r="K73" s="97"/>
      <c r="L73" s="98"/>
      <c r="M73" s="129"/>
    </row>
    <row r="74" spans="1:13" ht="12" customHeight="1">
      <c r="A74" s="172"/>
      <c r="B74" s="73"/>
      <c r="C74" s="189">
        <v>1</v>
      </c>
      <c r="D74" s="189">
        <v>0</v>
      </c>
      <c r="E74" s="96">
        <f t="shared" si="4"/>
        <v>0</v>
      </c>
      <c r="F74" s="189">
        <v>0</v>
      </c>
      <c r="G74" s="101">
        <f t="shared" si="8"/>
        <v>0</v>
      </c>
      <c r="H74" s="189">
        <v>1</v>
      </c>
      <c r="I74" s="89">
        <f t="shared" si="7"/>
        <v>0</v>
      </c>
      <c r="J74" s="89"/>
      <c r="K74" s="91" t="s">
        <v>107</v>
      </c>
      <c r="L74" s="92">
        <f>(J77-G77)*$K$7</f>
        <v>0</v>
      </c>
      <c r="M74" s="129"/>
    </row>
    <row r="75" spans="1:13" ht="12" customHeight="1" thickBot="1">
      <c r="A75" s="172"/>
      <c r="B75" s="73"/>
      <c r="C75" s="189">
        <v>1</v>
      </c>
      <c r="D75" s="189">
        <v>0</v>
      </c>
      <c r="E75" s="96">
        <f t="shared" si="4"/>
        <v>0</v>
      </c>
      <c r="F75" s="189">
        <v>0</v>
      </c>
      <c r="G75" s="101">
        <f t="shared" si="8"/>
        <v>0</v>
      </c>
      <c r="H75" s="189">
        <v>1</v>
      </c>
      <c r="I75" s="89">
        <f t="shared" si="7"/>
        <v>0</v>
      </c>
      <c r="J75" s="89"/>
      <c r="K75" s="91" t="s">
        <v>118</v>
      </c>
      <c r="L75" s="92">
        <f>(L77-J77)*$K$7</f>
        <v>278.9666666666666</v>
      </c>
      <c r="M75" s="129"/>
    </row>
    <row r="76" spans="1:13" ht="12" customHeight="1">
      <c r="A76" s="172"/>
      <c r="B76" s="73"/>
      <c r="C76" s="189">
        <v>1</v>
      </c>
      <c r="D76" s="189">
        <v>0</v>
      </c>
      <c r="E76" s="96">
        <f t="shared" si="4"/>
        <v>0</v>
      </c>
      <c r="F76" s="189">
        <v>0</v>
      </c>
      <c r="G76" s="101">
        <f t="shared" si="8"/>
        <v>0</v>
      </c>
      <c r="H76" s="189">
        <v>1</v>
      </c>
      <c r="I76" s="89">
        <f t="shared" si="7"/>
        <v>0</v>
      </c>
      <c r="J76" s="90"/>
      <c r="K76" s="93" t="s">
        <v>117</v>
      </c>
      <c r="L76" s="99">
        <f>IF(L10&lt;&gt;0,L77/L10,"?")</f>
        <v>0.3621652091132774</v>
      </c>
      <c r="M76" s="129"/>
    </row>
    <row r="77" spans="1:14" ht="13.5" customHeight="1" thickBot="1">
      <c r="A77" s="173"/>
      <c r="B77" s="144" t="s">
        <v>113</v>
      </c>
      <c r="C77" s="141"/>
      <c r="D77" s="141"/>
      <c r="E77" s="145">
        <f>SUM(E55:E76)</f>
        <v>59.5</v>
      </c>
      <c r="F77" s="141">
        <f>IF(E77&lt;&gt;0,(G77/E77)*60,"?")</f>
        <v>28.131092436974782</v>
      </c>
      <c r="G77" s="141">
        <f>SUM(G55:G76)</f>
        <v>27.89666666666666</v>
      </c>
      <c r="H77" s="141">
        <f>IF(G77&lt;&gt;0,I77/G77,0)</f>
        <v>1</v>
      </c>
      <c r="I77" s="141">
        <f>SUM(I55:I76)</f>
        <v>27.89666666666666</v>
      </c>
      <c r="J77" s="142">
        <f>SUM(I55:I76)</f>
        <v>27.89666666666666</v>
      </c>
      <c r="K77" s="193">
        <v>0.5</v>
      </c>
      <c r="L77" s="143">
        <f>J77/(1-K77)</f>
        <v>55.79333333333332</v>
      </c>
      <c r="M77" s="130"/>
      <c r="N77" s="204">
        <f>G77</f>
        <v>27.89666666666666</v>
      </c>
    </row>
    <row r="78" spans="1:13" ht="5.25" customHeight="1" thickBot="1">
      <c r="A78" s="172"/>
      <c r="B78" s="154"/>
      <c r="C78" s="56"/>
      <c r="D78" s="155"/>
      <c r="E78" s="56"/>
      <c r="F78" s="156"/>
      <c r="G78" s="156"/>
      <c r="H78" s="58"/>
      <c r="I78" s="149"/>
      <c r="J78" s="56"/>
      <c r="K78" s="157"/>
      <c r="L78" s="153"/>
      <c r="M78" s="129"/>
    </row>
    <row r="79" spans="1:14" ht="24.75" customHeight="1">
      <c r="A79" s="172"/>
      <c r="B79" s="20" t="s">
        <v>130</v>
      </c>
      <c r="C79" s="210" t="s">
        <v>27</v>
      </c>
      <c r="D79" s="214" t="s">
        <v>123</v>
      </c>
      <c r="E79" s="214" t="s">
        <v>124</v>
      </c>
      <c r="F79" s="209" t="s">
        <v>76</v>
      </c>
      <c r="G79" s="31" t="s">
        <v>78</v>
      </c>
      <c r="H79" s="212" t="s">
        <v>106</v>
      </c>
      <c r="I79" s="209" t="s">
        <v>104</v>
      </c>
      <c r="J79" s="210" t="s">
        <v>93</v>
      </c>
      <c r="K79" s="34" t="s">
        <v>102</v>
      </c>
      <c r="L79" s="41" t="s">
        <v>81</v>
      </c>
      <c r="M79" s="129"/>
      <c r="N79" s="205">
        <f>N28+N52+N77</f>
        <v>111.33066666666666</v>
      </c>
    </row>
    <row r="80" spans="1:14" ht="12" customHeight="1">
      <c r="A80" s="172"/>
      <c r="B80" s="73"/>
      <c r="C80" s="194">
        <v>0</v>
      </c>
      <c r="D80" s="100">
        <f>$I$7/$L$7</f>
        <v>2</v>
      </c>
      <c r="E80" s="100">
        <f>C80*D80</f>
        <v>0</v>
      </c>
      <c r="F80" s="101">
        <f>E80/$I$7</f>
        <v>0</v>
      </c>
      <c r="G80" s="101">
        <f>F80</f>
        <v>0</v>
      </c>
      <c r="H80" s="189">
        <v>1</v>
      </c>
      <c r="I80" s="89">
        <f>(G80*H80)</f>
        <v>0</v>
      </c>
      <c r="J80" s="89"/>
      <c r="K80" s="91"/>
      <c r="L80" s="92"/>
      <c r="M80" s="129"/>
      <c r="N80" t="s">
        <v>61</v>
      </c>
    </row>
    <row r="81" spans="1:13" ht="12" customHeight="1">
      <c r="A81" s="172"/>
      <c r="B81" s="73"/>
      <c r="C81" s="194">
        <v>0</v>
      </c>
      <c r="D81" s="100">
        <f>$I$7/$L$7</f>
        <v>2</v>
      </c>
      <c r="E81" s="100">
        <f>C81*D81</f>
        <v>0</v>
      </c>
      <c r="F81" s="101">
        <f>E81/$I$7</f>
        <v>0</v>
      </c>
      <c r="G81" s="101">
        <f>F81</f>
        <v>0</v>
      </c>
      <c r="H81" s="189">
        <v>1</v>
      </c>
      <c r="I81" s="89">
        <f>(G81*H81)</f>
        <v>0</v>
      </c>
      <c r="J81" s="89"/>
      <c r="K81" s="91"/>
      <c r="L81" s="92"/>
      <c r="M81" s="129"/>
    </row>
    <row r="82" spans="1:13" ht="12" customHeight="1">
      <c r="A82" s="172"/>
      <c r="B82" s="73" t="s">
        <v>41</v>
      </c>
      <c r="C82" s="194">
        <v>10</v>
      </c>
      <c r="D82" s="100">
        <f>$I$7/$L$7</f>
        <v>2</v>
      </c>
      <c r="E82" s="110">
        <f>C82*D82</f>
        <v>20</v>
      </c>
      <c r="F82" s="101">
        <f>E82/$I$7</f>
        <v>1</v>
      </c>
      <c r="G82" s="101">
        <f>F82</f>
        <v>1</v>
      </c>
      <c r="H82" s="189">
        <v>1</v>
      </c>
      <c r="I82" s="89">
        <f>(G82*H82)</f>
        <v>1</v>
      </c>
      <c r="J82" s="89"/>
      <c r="K82" s="91" t="s">
        <v>107</v>
      </c>
      <c r="L82" s="92">
        <f>(J85-G85)*$K$7</f>
        <v>0</v>
      </c>
      <c r="M82" s="129"/>
    </row>
    <row r="83" spans="1:13" ht="12" customHeight="1" thickBot="1">
      <c r="A83" s="172"/>
      <c r="B83" s="73" t="s">
        <v>42</v>
      </c>
      <c r="C83" s="194">
        <v>0</v>
      </c>
      <c r="D83" s="100">
        <f>$I$7/$L$7</f>
        <v>2</v>
      </c>
      <c r="E83" s="100">
        <f>C83*D83</f>
        <v>0</v>
      </c>
      <c r="F83" s="101">
        <f>E83/$I$7</f>
        <v>0</v>
      </c>
      <c r="G83" s="101">
        <f>F83</f>
        <v>0</v>
      </c>
      <c r="H83" s="189">
        <v>1</v>
      </c>
      <c r="I83" s="89">
        <f>(G83*H83)</f>
        <v>0</v>
      </c>
      <c r="J83" s="89"/>
      <c r="K83" s="91" t="s">
        <v>118</v>
      </c>
      <c r="L83" s="92">
        <f>(L85-J85)*$K$7</f>
        <v>3.3333333333333326</v>
      </c>
      <c r="M83" s="129"/>
    </row>
    <row r="84" spans="1:13" ht="12" customHeight="1">
      <c r="A84" s="172"/>
      <c r="B84" s="73" t="s">
        <v>45</v>
      </c>
      <c r="C84" s="194"/>
      <c r="D84" s="100">
        <f>$I$7/$L$7</f>
        <v>2</v>
      </c>
      <c r="E84" s="100">
        <f>C84*D84</f>
        <v>0</v>
      </c>
      <c r="F84" s="101">
        <f>E84/$I$7</f>
        <v>0</v>
      </c>
      <c r="G84" s="101">
        <f>F84</f>
        <v>0</v>
      </c>
      <c r="H84" s="189">
        <v>1</v>
      </c>
      <c r="I84" s="89">
        <f>(G84*H84)</f>
        <v>0</v>
      </c>
      <c r="J84" s="90"/>
      <c r="K84" s="93" t="s">
        <v>117</v>
      </c>
      <c r="L84" s="99">
        <f>IF(L10&lt;&gt;0,L85/L10,"?")</f>
        <v>0.008654921952760842</v>
      </c>
      <c r="M84" s="129"/>
    </row>
    <row r="85" spans="1:13" ht="13.5" customHeight="1" thickBot="1">
      <c r="A85" s="173"/>
      <c r="B85" s="144" t="s">
        <v>131</v>
      </c>
      <c r="C85" s="141"/>
      <c r="D85" s="141"/>
      <c r="E85" s="146"/>
      <c r="F85" s="141"/>
      <c r="G85" s="141">
        <f>SUM(G80:G84)</f>
        <v>1</v>
      </c>
      <c r="H85" s="141">
        <f>IF(G85&lt;&gt;0,I85/G85,"?")</f>
        <v>1</v>
      </c>
      <c r="I85" s="141">
        <f>SUM(I80:I84)</f>
        <v>1</v>
      </c>
      <c r="J85" s="142">
        <f>SUM(I80:I84)</f>
        <v>1</v>
      </c>
      <c r="K85" s="193">
        <v>0.25</v>
      </c>
      <c r="L85" s="143">
        <f>J85/(1-K85)</f>
        <v>1.3333333333333333</v>
      </c>
      <c r="M85" s="130"/>
    </row>
    <row r="86" spans="1:13" ht="5.25" customHeight="1" thickBot="1">
      <c r="A86" s="172"/>
      <c r="B86" s="154"/>
      <c r="C86" s="56"/>
      <c r="D86" s="155"/>
      <c r="E86" s="158"/>
      <c r="F86" s="156"/>
      <c r="G86" s="156"/>
      <c r="H86" s="58"/>
      <c r="I86" s="149"/>
      <c r="J86" s="56"/>
      <c r="K86" s="157"/>
      <c r="L86" s="153"/>
      <c r="M86" s="129"/>
    </row>
    <row r="87" spans="1:13" ht="24.75" customHeight="1">
      <c r="A87" s="172"/>
      <c r="B87" s="20" t="s">
        <v>129</v>
      </c>
      <c r="C87" s="210" t="s">
        <v>27</v>
      </c>
      <c r="D87" s="5"/>
      <c r="E87" s="214" t="s">
        <v>105</v>
      </c>
      <c r="F87" s="209" t="s">
        <v>76</v>
      </c>
      <c r="G87" s="31" t="s">
        <v>78</v>
      </c>
      <c r="H87" s="212" t="s">
        <v>106</v>
      </c>
      <c r="I87" s="39" t="s">
        <v>103</v>
      </c>
      <c r="J87" s="210" t="s">
        <v>93</v>
      </c>
      <c r="K87" s="34" t="s">
        <v>102</v>
      </c>
      <c r="L87" s="41" t="s">
        <v>81</v>
      </c>
      <c r="M87" s="129"/>
    </row>
    <row r="88" spans="1:13" ht="10.5" customHeight="1">
      <c r="A88" s="172"/>
      <c r="B88" s="109" t="str">
        <f>CONCATENATE("Osa 1 ",'Part 1'!$F$4)</f>
        <v>Osa 1 Flat steel</v>
      </c>
      <c r="C88" s="100"/>
      <c r="D88" s="89"/>
      <c r="E88" s="100">
        <f>IF(F88&gt;0,$I$7*'Part 1'!$F$9,"")</f>
      </c>
      <c r="F88" s="101">
        <f>'Part 1'!$G$61</f>
        <v>0</v>
      </c>
      <c r="G88" s="101">
        <f>'Part 1'!$G$61</f>
        <v>0</v>
      </c>
      <c r="H88" s="101">
        <f>'Part 1'!$H$61</f>
        <v>0</v>
      </c>
      <c r="I88" s="89">
        <f aca="true" t="shared" si="9" ref="I88:I95">(G88*H88)</f>
        <v>0</v>
      </c>
      <c r="J88" s="89"/>
      <c r="K88" s="91"/>
      <c r="L88" s="92"/>
      <c r="M88" s="129"/>
    </row>
    <row r="89" spans="1:13" ht="12" customHeight="1">
      <c r="A89" s="172"/>
      <c r="B89" s="109" t="str">
        <f>CONCATENATE("Osa 2 ",'Part 2'!$F$4)</f>
        <v>Osa 2 Tube 25,3 x 3</v>
      </c>
      <c r="C89" s="100"/>
      <c r="D89" s="89"/>
      <c r="E89" s="100">
        <f>IF(F89&gt;0,$I$7*'Part 2'!$F$9,"")</f>
      </c>
      <c r="F89" s="101">
        <f>'Part 2'!$G$61</f>
        <v>0</v>
      </c>
      <c r="G89" s="101">
        <f>'Part 2'!$G$61</f>
        <v>0</v>
      </c>
      <c r="H89" s="101">
        <f>'Part 2'!$H$61</f>
        <v>0</v>
      </c>
      <c r="I89" s="89">
        <f t="shared" si="9"/>
        <v>0</v>
      </c>
      <c r="J89" s="89"/>
      <c r="K89" s="91"/>
      <c r="L89" s="92"/>
      <c r="M89" s="129"/>
    </row>
    <row r="90" spans="1:13" ht="12" customHeight="1">
      <c r="A90" s="172"/>
      <c r="B90" s="109" t="str">
        <f>CONCATENATE("Osa 3 ",'Part 3'!$F$4)</f>
        <v>Osa 3 Flat steel 6x80</v>
      </c>
      <c r="C90" s="100"/>
      <c r="D90" s="89"/>
      <c r="E90" s="100">
        <f>IF(F90&gt;0,$I$7*'Part 3'!$F$9,"")</f>
      </c>
      <c r="F90" s="101">
        <f>'Part 3'!$G$61</f>
        <v>0</v>
      </c>
      <c r="G90" s="101">
        <f>'Part 3'!$G$61</f>
        <v>0</v>
      </c>
      <c r="H90" s="101">
        <f>'Part 3'!$H$61</f>
        <v>0</v>
      </c>
      <c r="I90" s="89">
        <f t="shared" si="9"/>
        <v>0</v>
      </c>
      <c r="J90" s="89"/>
      <c r="K90" s="91"/>
      <c r="L90" s="92"/>
      <c r="M90" s="129"/>
    </row>
    <row r="91" spans="1:13" ht="12" customHeight="1">
      <c r="A91" s="172"/>
      <c r="B91" s="109" t="str">
        <f>CONCATENATE("Osa 4 ",'Part 4'!$F$4)</f>
        <v>Osa 4 Round bar 18</v>
      </c>
      <c r="C91" s="100"/>
      <c r="D91" s="89"/>
      <c r="E91" s="100">
        <f>IF(F91&gt;0,$I$7*'Part 4'!$F$9,"")</f>
      </c>
      <c r="F91" s="101">
        <f>'Part 4'!$G$61</f>
        <v>0</v>
      </c>
      <c r="G91" s="101">
        <f>'Part 4'!$G$61</f>
        <v>0</v>
      </c>
      <c r="H91" s="101">
        <f>'Part 4'!$H$61</f>
        <v>0</v>
      </c>
      <c r="I91" s="89">
        <f t="shared" si="9"/>
        <v>0</v>
      </c>
      <c r="J91" s="89"/>
      <c r="K91" s="91"/>
      <c r="L91" s="92"/>
      <c r="M91" s="129"/>
    </row>
    <row r="92" spans="1:13" ht="12" customHeight="1">
      <c r="A92" s="172"/>
      <c r="B92" s="109" t="str">
        <f>CONCATENATE("Osa 5 ",'Part 5'!$F$4)</f>
        <v>Osa 5 L50x20x4 -750</v>
      </c>
      <c r="C92" s="100"/>
      <c r="D92" s="89"/>
      <c r="E92" s="100">
        <f>IF(F92&gt;0,$I$7*'Part 5'!$F$9,"")</f>
      </c>
      <c r="F92" s="101">
        <f>'Part 5'!$G$61</f>
        <v>0</v>
      </c>
      <c r="G92" s="101">
        <f>'Part 5'!$G$61</f>
        <v>0</v>
      </c>
      <c r="H92" s="101">
        <f>'Part 5'!$H$61</f>
        <v>0</v>
      </c>
      <c r="I92" s="89">
        <f t="shared" si="9"/>
        <v>0</v>
      </c>
      <c r="J92" s="89"/>
      <c r="K92" s="91"/>
      <c r="L92" s="92"/>
      <c r="M92" s="129"/>
    </row>
    <row r="93" spans="1:13" ht="12" customHeight="1">
      <c r="A93" s="172"/>
      <c r="B93" s="109" t="str">
        <f>CONCATENATE("Osa 6 ",'Part 6'!$F$4)</f>
        <v>Osa 6 Putki 25x3 -50</v>
      </c>
      <c r="C93" s="100"/>
      <c r="D93" s="89"/>
      <c r="E93" s="100">
        <f>IF(F93&gt;0,$I$7*'Part 6'!$F$9,"")</f>
      </c>
      <c r="F93" s="101">
        <f>'Part 6'!$G$61</f>
        <v>0</v>
      </c>
      <c r="G93" s="101">
        <f>'Part 6'!$G$61</f>
        <v>0</v>
      </c>
      <c r="H93" s="101">
        <f>'Part 6'!$H$61</f>
        <v>0</v>
      </c>
      <c r="I93" s="89">
        <f t="shared" si="9"/>
        <v>0</v>
      </c>
      <c r="J93" s="89"/>
      <c r="K93" s="91"/>
      <c r="L93" s="92"/>
      <c r="M93" s="129"/>
    </row>
    <row r="94" spans="1:13" ht="12" customHeight="1">
      <c r="A94" s="172"/>
      <c r="B94" s="109" t="str">
        <f>CONCATENATE("Osa 7 ",'Part 7'!$F$4)</f>
        <v>Osa 7 Round plate</v>
      </c>
      <c r="C94" s="100"/>
      <c r="D94" s="89"/>
      <c r="E94" s="100">
        <f>IF(F94&gt;0,$I$7*'Part 7'!$F$9,"")</f>
      </c>
      <c r="F94" s="101">
        <f>'Part 7'!$G$61</f>
        <v>0</v>
      </c>
      <c r="G94" s="101">
        <f>'Part 7'!$G$61</f>
        <v>0</v>
      </c>
      <c r="H94" s="101">
        <f>'Part 7'!$H$61</f>
        <v>0</v>
      </c>
      <c r="I94" s="89">
        <f t="shared" si="9"/>
        <v>0</v>
      </c>
      <c r="J94" s="89"/>
      <c r="K94" s="91"/>
      <c r="L94" s="92"/>
      <c r="M94" s="129"/>
    </row>
    <row r="95" spans="1:13" ht="12" customHeight="1">
      <c r="A95" s="172"/>
      <c r="B95" s="109" t="str">
        <f>CONCATENATE("Osa 8 ",'Part 8'!$F$4)</f>
        <v>Osa 8 L-bar 40x60x6 -750</v>
      </c>
      <c r="C95" s="100"/>
      <c r="D95" s="89"/>
      <c r="E95" s="100">
        <f>IF(F95&gt;0,$I$7*'Part 8'!$F$9,"")</f>
      </c>
      <c r="F95" s="101">
        <f>'Part 8'!$G$61</f>
        <v>0</v>
      </c>
      <c r="G95" s="101">
        <f>'Part 8'!$G$61</f>
        <v>0</v>
      </c>
      <c r="H95" s="101">
        <f>'Part 8'!$H$61</f>
        <v>0</v>
      </c>
      <c r="I95" s="89">
        <f t="shared" si="9"/>
        <v>0</v>
      </c>
      <c r="J95" s="89"/>
      <c r="K95" s="91"/>
      <c r="L95" s="92"/>
      <c r="M95" s="129"/>
    </row>
    <row r="96" spans="1:13" ht="12" customHeight="1">
      <c r="A96" s="172"/>
      <c r="B96" s="109" t="str">
        <f>CONCATENATE("Osa 9 ",'Part 9'!$F$4)</f>
        <v>Osa 9 Tube rings</v>
      </c>
      <c r="C96" s="100"/>
      <c r="D96" s="89"/>
      <c r="E96" s="100">
        <f>IF(F96&gt;0,$I$7*'Part 8'!$F$9,"")</f>
      </c>
      <c r="F96" s="101">
        <f>'Part 9'!$G$61</f>
        <v>0</v>
      </c>
      <c r="G96" s="101">
        <f>'Part 9'!$G$61</f>
        <v>0</v>
      </c>
      <c r="H96" s="101">
        <f>'Part 9'!$H$61</f>
        <v>0</v>
      </c>
      <c r="I96" s="89">
        <f>(G96*H96)</f>
        <v>0</v>
      </c>
      <c r="J96" s="89"/>
      <c r="K96" s="91"/>
      <c r="L96" s="92"/>
      <c r="M96" s="129"/>
    </row>
    <row r="97" spans="1:13" ht="12" customHeight="1">
      <c r="A97" s="172"/>
      <c r="B97" s="73"/>
      <c r="C97" s="194"/>
      <c r="D97" s="89"/>
      <c r="E97" s="100">
        <f aca="true" t="shared" si="10" ref="E97:E103">$I$7</f>
        <v>20</v>
      </c>
      <c r="F97" s="101">
        <f aca="true" t="shared" si="11" ref="F97:F103">C97/E97</f>
        <v>0</v>
      </c>
      <c r="G97" s="101">
        <f aca="true" t="shared" si="12" ref="G97:G103">F97</f>
        <v>0</v>
      </c>
      <c r="H97" s="189">
        <v>1</v>
      </c>
      <c r="I97" s="89">
        <f aca="true" t="shared" si="13" ref="I97:I103">(G97*H97)</f>
        <v>0</v>
      </c>
      <c r="J97" s="89"/>
      <c r="K97" s="91"/>
      <c r="L97" s="92"/>
      <c r="M97" s="129"/>
    </row>
    <row r="98" spans="1:13" ht="12" customHeight="1">
      <c r="A98" s="172"/>
      <c r="B98" s="73"/>
      <c r="C98" s="194"/>
      <c r="D98" s="89"/>
      <c r="E98" s="100">
        <f t="shared" si="10"/>
        <v>20</v>
      </c>
      <c r="F98" s="101">
        <f t="shared" si="11"/>
        <v>0</v>
      </c>
      <c r="G98" s="101">
        <f t="shared" si="12"/>
        <v>0</v>
      </c>
      <c r="H98" s="189">
        <v>1</v>
      </c>
      <c r="I98" s="89">
        <f t="shared" si="13"/>
        <v>0</v>
      </c>
      <c r="J98" s="89"/>
      <c r="K98" s="91"/>
      <c r="L98" s="92"/>
      <c r="M98" s="129"/>
    </row>
    <row r="99" spans="1:13" ht="12" customHeight="1">
      <c r="A99" s="172"/>
      <c r="B99" s="73" t="s">
        <v>57</v>
      </c>
      <c r="C99" s="194"/>
      <c r="D99" s="89"/>
      <c r="E99" s="100">
        <f t="shared" si="10"/>
        <v>20</v>
      </c>
      <c r="F99" s="101">
        <f t="shared" si="11"/>
        <v>0</v>
      </c>
      <c r="G99" s="101">
        <f t="shared" si="12"/>
        <v>0</v>
      </c>
      <c r="H99" s="189">
        <v>1</v>
      </c>
      <c r="I99" s="89">
        <f>(G99*H99)</f>
        <v>0</v>
      </c>
      <c r="J99" s="89"/>
      <c r="K99" s="91"/>
      <c r="L99" s="92"/>
      <c r="M99" s="129"/>
    </row>
    <row r="100" spans="1:13" ht="12" customHeight="1">
      <c r="A100" s="172"/>
      <c r="B100" s="73" t="s">
        <v>126</v>
      </c>
      <c r="C100" s="194">
        <v>0</v>
      </c>
      <c r="D100" s="89"/>
      <c r="E100" s="100">
        <f t="shared" si="10"/>
        <v>20</v>
      </c>
      <c r="F100" s="101">
        <f t="shared" si="11"/>
        <v>0</v>
      </c>
      <c r="G100" s="101">
        <f t="shared" si="12"/>
        <v>0</v>
      </c>
      <c r="H100" s="189">
        <v>1</v>
      </c>
      <c r="I100" s="89">
        <f t="shared" si="13"/>
        <v>0</v>
      </c>
      <c r="J100" s="89"/>
      <c r="K100" s="91"/>
      <c r="L100" s="92"/>
      <c r="M100" s="129"/>
    </row>
    <row r="101" spans="1:13" ht="12" customHeight="1">
      <c r="A101" s="172"/>
      <c r="B101" s="73" t="s">
        <v>122</v>
      </c>
      <c r="C101" s="194">
        <v>0</v>
      </c>
      <c r="D101" s="89"/>
      <c r="E101" s="100">
        <f t="shared" si="10"/>
        <v>20</v>
      </c>
      <c r="F101" s="101">
        <f t="shared" si="11"/>
        <v>0</v>
      </c>
      <c r="G101" s="101">
        <f t="shared" si="12"/>
        <v>0</v>
      </c>
      <c r="H101" s="189">
        <v>1</v>
      </c>
      <c r="I101" s="89">
        <f t="shared" si="13"/>
        <v>0</v>
      </c>
      <c r="J101" s="89"/>
      <c r="K101" s="91" t="s">
        <v>116</v>
      </c>
      <c r="L101" s="92">
        <f>(J104-G104)*$K$7</f>
        <v>0</v>
      </c>
      <c r="M101" s="129"/>
    </row>
    <row r="102" spans="1:13" ht="12" customHeight="1" thickBot="1">
      <c r="A102" s="172"/>
      <c r="B102" s="73" t="s">
        <v>127</v>
      </c>
      <c r="C102" s="194">
        <v>0</v>
      </c>
      <c r="D102" s="89"/>
      <c r="E102" s="100">
        <f t="shared" si="10"/>
        <v>20</v>
      </c>
      <c r="F102" s="101">
        <f t="shared" si="11"/>
        <v>0</v>
      </c>
      <c r="G102" s="101">
        <f t="shared" si="12"/>
        <v>0</v>
      </c>
      <c r="H102" s="189">
        <v>1</v>
      </c>
      <c r="I102" s="89">
        <f t="shared" si="13"/>
        <v>0</v>
      </c>
      <c r="J102" s="89"/>
      <c r="K102" s="91" t="s">
        <v>118</v>
      </c>
      <c r="L102" s="92">
        <f>(L104-J104)*$K$7</f>
        <v>5</v>
      </c>
      <c r="M102" s="129"/>
    </row>
    <row r="103" spans="1:13" ht="12" customHeight="1">
      <c r="A103" s="172"/>
      <c r="B103" s="73" t="s">
        <v>128</v>
      </c>
      <c r="C103" s="194">
        <v>30</v>
      </c>
      <c r="D103" s="89"/>
      <c r="E103" s="100">
        <f t="shared" si="10"/>
        <v>20</v>
      </c>
      <c r="F103" s="101">
        <f t="shared" si="11"/>
        <v>1.5</v>
      </c>
      <c r="G103" s="101">
        <f t="shared" si="12"/>
        <v>1.5</v>
      </c>
      <c r="H103" s="189">
        <v>1</v>
      </c>
      <c r="I103" s="89">
        <f t="shared" si="13"/>
        <v>1.5</v>
      </c>
      <c r="J103" s="90"/>
      <c r="K103" s="93" t="s">
        <v>117</v>
      </c>
      <c r="L103" s="99">
        <f>IF(L10&lt;&gt;0,L104/L10,"?")</f>
        <v>0.012982382929141265</v>
      </c>
      <c r="M103" s="129"/>
    </row>
    <row r="104" spans="1:13" ht="13.5" customHeight="1" thickBot="1">
      <c r="A104" s="173"/>
      <c r="B104" s="114" t="s">
        <v>132</v>
      </c>
      <c r="C104" s="115"/>
      <c r="D104" s="115"/>
      <c r="E104" s="116"/>
      <c r="F104" s="115"/>
      <c r="G104" s="115">
        <f>SUM(G88:G103)</f>
        <v>1.5</v>
      </c>
      <c r="H104" s="115">
        <f>IF(G104&lt;&gt;0,I104/G104,"?")</f>
        <v>1</v>
      </c>
      <c r="I104" s="115">
        <f>SUM(I88:I103)</f>
        <v>1.5</v>
      </c>
      <c r="J104" s="118">
        <f>SUM(I88:I103)</f>
        <v>1.5</v>
      </c>
      <c r="K104" s="192">
        <v>0.25</v>
      </c>
      <c r="L104" s="119">
        <f>J104/(1-K104)</f>
        <v>2</v>
      </c>
      <c r="M104" s="130"/>
    </row>
    <row r="105" spans="1:13" ht="5.25" customHeight="1" thickBot="1">
      <c r="A105" s="138"/>
      <c r="B105" s="165"/>
      <c r="C105" s="166"/>
      <c r="D105" s="166"/>
      <c r="E105" s="166"/>
      <c r="F105" s="166"/>
      <c r="G105" s="167"/>
      <c r="H105" s="166"/>
      <c r="I105" s="166"/>
      <c r="J105" s="168"/>
      <c r="K105" s="166"/>
      <c r="L105" s="169"/>
      <c r="M105" s="138"/>
    </row>
    <row r="106" spans="1:13" ht="13.5">
      <c r="A106" s="26"/>
      <c r="B106" s="3"/>
      <c r="C106" s="3"/>
      <c r="D106" s="3"/>
      <c r="E106" s="3"/>
      <c r="F106" s="50"/>
      <c r="G106" s="3"/>
      <c r="H106" s="3"/>
      <c r="I106" s="6"/>
      <c r="J106" s="3"/>
      <c r="M106" s="7"/>
    </row>
    <row r="107" spans="1:13" ht="13.5">
      <c r="A107" s="8"/>
      <c r="E107" s="26"/>
      <c r="F107" s="26"/>
      <c r="G107" s="26"/>
      <c r="J107" s="26"/>
      <c r="K107" s="26"/>
      <c r="L107" s="53"/>
      <c r="M107" s="8"/>
    </row>
    <row r="108" spans="1:13" ht="13.5">
      <c r="A108" s="8"/>
      <c r="E108" s="7"/>
      <c r="F108" s="7"/>
      <c r="G108" s="7"/>
      <c r="J108" s="7"/>
      <c r="K108" s="7"/>
      <c r="L108" s="54"/>
      <c r="M108" s="8"/>
    </row>
    <row r="109" spans="1:13" ht="13.5">
      <c r="A109" s="8"/>
      <c r="B109" s="7"/>
      <c r="C109" s="7"/>
      <c r="D109" s="7"/>
      <c r="E109" s="7"/>
      <c r="F109" s="7"/>
      <c r="G109" s="7"/>
      <c r="H109" s="4"/>
      <c r="I109" s="4"/>
      <c r="J109" s="206"/>
      <c r="K109" s="4"/>
      <c r="L109" s="53"/>
      <c r="M109" s="8"/>
    </row>
    <row r="110" spans="1:13" ht="13.5">
      <c r="A110" s="8"/>
      <c r="B110" s="7"/>
      <c r="C110" s="7"/>
      <c r="D110" s="7"/>
      <c r="E110" s="7"/>
      <c r="F110" s="7"/>
      <c r="G110" s="7"/>
      <c r="H110" s="8"/>
      <c r="I110" s="8"/>
      <c r="J110" s="8"/>
      <c r="K110" s="8"/>
      <c r="L110" s="8"/>
      <c r="M110" s="8"/>
    </row>
    <row r="111" spans="1:13" ht="13.5">
      <c r="A111" s="8"/>
      <c r="B111" s="7"/>
      <c r="C111" s="7"/>
      <c r="D111" s="7"/>
      <c r="E111" s="7"/>
      <c r="F111" s="7"/>
      <c r="G111" s="7"/>
      <c r="H111" s="8"/>
      <c r="I111" s="8"/>
      <c r="J111" s="8"/>
      <c r="K111" s="8"/>
      <c r="L111" s="8"/>
      <c r="M111" s="8"/>
    </row>
    <row r="112" spans="1:13" ht="13.5">
      <c r="A112" s="7"/>
      <c r="B112" s="8"/>
      <c r="C112" s="7"/>
      <c r="D112" s="7"/>
      <c r="E112" s="7"/>
      <c r="F112" s="7"/>
      <c r="G112" s="7"/>
      <c r="H112" s="7"/>
      <c r="I112" s="7"/>
      <c r="J112" s="7"/>
      <c r="K112" s="8"/>
      <c r="L112" s="7"/>
      <c r="M112" s="7"/>
    </row>
    <row r="113" spans="1:13" ht="13.5">
      <c r="A113" s="7"/>
      <c r="B113" s="8"/>
      <c r="C113" s="9"/>
      <c r="D113" s="8"/>
      <c r="E113" s="7"/>
      <c r="F113" s="7"/>
      <c r="G113" s="7"/>
      <c r="H113" s="7"/>
      <c r="I113" s="7"/>
      <c r="J113" s="7"/>
      <c r="K113" s="8"/>
      <c r="L113" s="7"/>
      <c r="M113" s="7"/>
    </row>
    <row r="114" spans="1:13" ht="13.5">
      <c r="A114" s="7"/>
      <c r="B114" s="10"/>
      <c r="C114" s="8"/>
      <c r="D114" s="8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3.5">
      <c r="A115" s="7"/>
      <c r="B115" s="7"/>
      <c r="C115" s="8"/>
      <c r="D115" s="8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3.5">
      <c r="A116" s="7"/>
      <c r="B116" s="7"/>
      <c r="C116" s="7"/>
      <c r="D116" s="7"/>
      <c r="E116" s="7"/>
      <c r="F116" s="7"/>
      <c r="G116" s="7"/>
      <c r="H116" s="8"/>
      <c r="I116" s="8"/>
      <c r="J116" s="7"/>
      <c r="K116" s="7"/>
      <c r="L116" s="7"/>
      <c r="M116" s="7"/>
    </row>
    <row r="117" spans="1:13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3.5">
      <c r="A118" s="7"/>
      <c r="B118" s="11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3.5">
      <c r="A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3.5">
      <c r="A123" s="7"/>
      <c r="B123" s="7"/>
      <c r="C123" s="26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3.5">
      <c r="A124" s="7"/>
      <c r="B124" s="7"/>
      <c r="C124" s="7"/>
      <c r="D124" s="7"/>
      <c r="E124" s="7"/>
      <c r="F124" s="7"/>
      <c r="G124" s="51"/>
      <c r="H124" s="7"/>
      <c r="I124" s="7"/>
      <c r="J124" s="7"/>
      <c r="K124" s="7"/>
      <c r="L124" s="7"/>
      <c r="M124" s="7"/>
    </row>
    <row r="125" spans="1:13" ht="13.5">
      <c r="A125" s="7"/>
      <c r="B125" s="7"/>
      <c r="C125" s="7"/>
      <c r="D125" s="7"/>
      <c r="E125" s="7"/>
      <c r="F125" s="7"/>
      <c r="G125" s="51"/>
      <c r="H125" s="7"/>
      <c r="I125" s="7"/>
      <c r="J125" s="7"/>
      <c r="K125" s="7"/>
      <c r="L125" s="7"/>
      <c r="M125" s="7"/>
    </row>
    <row r="126" spans="1:13" ht="13.5">
      <c r="A126" s="7"/>
      <c r="B126" s="7"/>
      <c r="C126" s="7"/>
      <c r="D126" s="7"/>
      <c r="E126" s="7"/>
      <c r="F126" s="7"/>
      <c r="G126" s="51"/>
      <c r="H126" s="7"/>
      <c r="I126" s="7"/>
      <c r="J126" s="7"/>
      <c r="K126" s="7"/>
      <c r="L126" s="7"/>
      <c r="M126" s="7"/>
    </row>
    <row r="127" spans="1:13" ht="13.5">
      <c r="A127" s="7"/>
      <c r="B127" s="11"/>
      <c r="C127" s="7"/>
      <c r="D127" s="7"/>
      <c r="E127" s="7"/>
      <c r="F127" s="7"/>
      <c r="G127" s="51"/>
      <c r="H127" s="7"/>
      <c r="I127" s="7"/>
      <c r="J127" s="7"/>
      <c r="K127" s="7"/>
      <c r="L127" s="7"/>
      <c r="M127" s="7"/>
    </row>
    <row r="128" spans="1:13" ht="13.5">
      <c r="A128" s="7"/>
      <c r="B128" s="7"/>
      <c r="C128" s="12"/>
      <c r="D128" s="7"/>
      <c r="E128" s="7"/>
      <c r="F128" s="7"/>
      <c r="G128" s="51"/>
      <c r="H128" s="7"/>
      <c r="I128" s="7"/>
      <c r="J128" s="7"/>
      <c r="K128" s="7"/>
      <c r="L128" s="7"/>
      <c r="M128" s="7"/>
    </row>
    <row r="129" spans="1:13" ht="13.5">
      <c r="A129" s="7"/>
      <c r="B129" s="7"/>
      <c r="C129" s="7"/>
      <c r="D129" s="7"/>
      <c r="E129" s="7"/>
      <c r="F129" s="7"/>
      <c r="G129" s="51"/>
      <c r="H129" s="7"/>
      <c r="I129" s="7"/>
      <c r="J129" s="7"/>
      <c r="K129" s="7"/>
      <c r="L129" s="7"/>
      <c r="M129" s="7"/>
    </row>
    <row r="130" spans="1:13" ht="13.5">
      <c r="A130" s="7"/>
      <c r="B130" s="7"/>
      <c r="C130" s="7"/>
      <c r="D130" s="7"/>
      <c r="E130" s="7"/>
      <c r="F130" s="7"/>
      <c r="G130" s="51"/>
      <c r="H130" s="7"/>
      <c r="I130" s="7"/>
      <c r="J130" s="7"/>
      <c r="K130" s="7"/>
      <c r="L130" s="7"/>
      <c r="M130" s="7"/>
    </row>
    <row r="131" spans="1:13" ht="13.5">
      <c r="A131" s="7"/>
      <c r="B131" s="7"/>
      <c r="C131" s="7"/>
      <c r="D131" s="7"/>
      <c r="E131" s="7"/>
      <c r="F131" s="7"/>
      <c r="G131" s="51"/>
      <c r="H131" s="7"/>
      <c r="I131" s="7"/>
      <c r="J131" s="7"/>
      <c r="K131" s="7"/>
      <c r="L131" s="7"/>
      <c r="M131" s="7"/>
    </row>
    <row r="132" spans="1:13" ht="13.5">
      <c r="A132" s="7"/>
      <c r="B132" s="7"/>
      <c r="C132" s="7"/>
      <c r="D132" s="7"/>
      <c r="E132" s="7"/>
      <c r="F132" s="7"/>
      <c r="G132" s="51"/>
      <c r="H132" s="7"/>
      <c r="I132" s="7"/>
      <c r="J132" s="7"/>
      <c r="K132" s="7"/>
      <c r="L132" s="7"/>
      <c r="M132" s="7"/>
    </row>
    <row r="133" spans="1:13" ht="13.5">
      <c r="A133" s="7"/>
      <c r="B133" s="7"/>
      <c r="C133" s="7"/>
      <c r="D133" s="7"/>
      <c r="E133" s="7"/>
      <c r="F133" s="7"/>
      <c r="G133" s="51"/>
      <c r="H133" s="7"/>
      <c r="I133" s="7"/>
      <c r="J133" s="7"/>
      <c r="K133" s="7"/>
      <c r="L133" s="7"/>
      <c r="M133" s="7"/>
    </row>
    <row r="134" spans="1:13" ht="13.5">
      <c r="A134" s="7"/>
      <c r="B134" s="7"/>
      <c r="C134" s="7"/>
      <c r="D134" s="7"/>
      <c r="E134" s="7"/>
      <c r="F134" s="7"/>
      <c r="G134" s="51"/>
      <c r="H134" s="7"/>
      <c r="I134" s="7"/>
      <c r="J134" s="7"/>
      <c r="K134" s="7"/>
      <c r="L134" s="7"/>
      <c r="M134" s="7"/>
    </row>
    <row r="135" spans="1:13" ht="13.5">
      <c r="A135" s="7"/>
      <c r="B135" s="7"/>
      <c r="C135" s="7"/>
      <c r="D135" s="7"/>
      <c r="E135" s="7"/>
      <c r="F135" s="7"/>
      <c r="G135" s="51"/>
      <c r="H135" s="7"/>
      <c r="I135" s="7"/>
      <c r="J135" s="7"/>
      <c r="K135" s="7"/>
      <c r="L135" s="7"/>
      <c r="M135" s="7"/>
    </row>
    <row r="136" spans="1:13" ht="13.5">
      <c r="A136" s="7"/>
      <c r="B136" s="7"/>
      <c r="C136" s="7"/>
      <c r="D136" s="7"/>
      <c r="E136" s="7"/>
      <c r="F136" s="7"/>
      <c r="G136" s="51"/>
      <c r="H136" s="7"/>
      <c r="I136" s="7"/>
      <c r="J136" s="7"/>
      <c r="K136" s="7"/>
      <c r="L136" s="7"/>
      <c r="M136" s="7"/>
    </row>
    <row r="137" spans="1:13" ht="13.5">
      <c r="A137" s="7"/>
      <c r="B137" s="7"/>
      <c r="C137" s="7"/>
      <c r="D137" s="7"/>
      <c r="E137" s="7"/>
      <c r="F137" s="7"/>
      <c r="G137" s="51"/>
      <c r="H137" s="7"/>
      <c r="I137" s="7"/>
      <c r="J137" s="7"/>
      <c r="K137" s="7"/>
      <c r="L137" s="7"/>
      <c r="M137" s="7"/>
    </row>
    <row r="138" spans="1:13" ht="13.5">
      <c r="A138" s="7"/>
      <c r="B138" s="7"/>
      <c r="C138" s="7"/>
      <c r="D138" s="7"/>
      <c r="E138" s="7"/>
      <c r="F138" s="7"/>
      <c r="G138" s="51"/>
      <c r="H138" s="7"/>
      <c r="I138" s="7"/>
      <c r="J138" s="7"/>
      <c r="K138" s="7"/>
      <c r="L138" s="7"/>
      <c r="M138" s="7"/>
    </row>
    <row r="139" spans="1:13" ht="13.5">
      <c r="A139" s="7"/>
      <c r="B139" s="7"/>
      <c r="C139" s="7"/>
      <c r="D139" s="7"/>
      <c r="E139" s="7"/>
      <c r="F139" s="7"/>
      <c r="G139" s="51"/>
      <c r="H139" s="7"/>
      <c r="I139" s="7"/>
      <c r="J139" s="7"/>
      <c r="K139" s="7"/>
      <c r="L139" s="7"/>
      <c r="M139" s="7"/>
    </row>
    <row r="140" spans="1:13" ht="13.5">
      <c r="A140" s="7"/>
      <c r="B140" s="7"/>
      <c r="C140" s="7"/>
      <c r="D140" s="7"/>
      <c r="E140" s="7"/>
      <c r="F140" s="7"/>
      <c r="G140" s="51"/>
      <c r="H140" s="7"/>
      <c r="I140" s="7"/>
      <c r="J140" s="7"/>
      <c r="K140" s="7"/>
      <c r="L140" s="7"/>
      <c r="M140" s="7"/>
    </row>
    <row r="141" spans="1:13" ht="13.5">
      <c r="A141" s="7"/>
      <c r="B141" s="7"/>
      <c r="C141" s="7"/>
      <c r="D141" s="7"/>
      <c r="E141" s="7"/>
      <c r="F141" s="7"/>
      <c r="G141" s="51"/>
      <c r="H141" s="7"/>
      <c r="I141" s="7"/>
      <c r="J141" s="7"/>
      <c r="K141" s="7"/>
      <c r="L141" s="7"/>
      <c r="M141" s="7"/>
    </row>
    <row r="142" spans="1:13" ht="13.5">
      <c r="A142" s="7"/>
      <c r="B142" s="7"/>
      <c r="C142" s="7"/>
      <c r="D142" s="7"/>
      <c r="E142" s="7"/>
      <c r="F142" s="7"/>
      <c r="G142" s="51"/>
      <c r="H142" s="7"/>
      <c r="I142" s="7"/>
      <c r="J142" s="7"/>
      <c r="K142" s="7"/>
      <c r="L142" s="7"/>
      <c r="M142" s="7"/>
    </row>
    <row r="143" spans="1:13" ht="13.5">
      <c r="A143" s="7"/>
      <c r="B143" s="7"/>
      <c r="C143" s="7"/>
      <c r="D143" s="7"/>
      <c r="E143" s="7"/>
      <c r="F143" s="7"/>
      <c r="G143" s="51"/>
      <c r="H143" s="7"/>
      <c r="I143" s="7"/>
      <c r="J143" s="7"/>
      <c r="K143" s="7"/>
      <c r="L143" s="7"/>
      <c r="M143" s="7"/>
    </row>
    <row r="144" spans="1:13" ht="13.5">
      <c r="A144" s="7"/>
      <c r="B144" s="7"/>
      <c r="C144" s="7"/>
      <c r="D144" s="7"/>
      <c r="E144" s="7"/>
      <c r="F144" s="7"/>
      <c r="G144" s="51"/>
      <c r="H144" s="7"/>
      <c r="I144" s="7"/>
      <c r="J144" s="7"/>
      <c r="K144" s="7"/>
      <c r="L144" s="7"/>
      <c r="M144" s="7"/>
    </row>
    <row r="145" spans="1:13" ht="13.5">
      <c r="A145" s="7"/>
      <c r="B145" s="7"/>
      <c r="C145" s="7"/>
      <c r="D145" s="7"/>
      <c r="E145" s="7"/>
      <c r="F145" s="7"/>
      <c r="G145" s="51"/>
      <c r="H145" s="7"/>
      <c r="I145" s="7"/>
      <c r="J145" s="7"/>
      <c r="K145" s="7"/>
      <c r="L145" s="7"/>
      <c r="M145" s="7"/>
    </row>
    <row r="146" spans="1:13" ht="13.5">
      <c r="A146" s="7"/>
      <c r="B146" s="7"/>
      <c r="C146" s="7"/>
      <c r="D146" s="7"/>
      <c r="E146" s="7"/>
      <c r="F146" s="7"/>
      <c r="G146" s="51"/>
      <c r="H146" s="7"/>
      <c r="I146" s="7"/>
      <c r="J146" s="7"/>
      <c r="K146" s="7"/>
      <c r="L146" s="7"/>
      <c r="M146" s="7"/>
    </row>
    <row r="147" spans="1:13" ht="13.5">
      <c r="A147" s="7"/>
      <c r="B147" s="7"/>
      <c r="C147" s="7"/>
      <c r="D147" s="7"/>
      <c r="E147" s="7"/>
      <c r="F147" s="7"/>
      <c r="G147" s="51"/>
      <c r="H147" s="7"/>
      <c r="I147" s="7"/>
      <c r="J147" s="7"/>
      <c r="K147" s="7"/>
      <c r="L147" s="7"/>
      <c r="M147" s="7"/>
    </row>
    <row r="148" spans="1:13" ht="13.5">
      <c r="A148" s="7"/>
      <c r="B148" s="7"/>
      <c r="C148" s="7"/>
      <c r="D148" s="7"/>
      <c r="E148" s="7"/>
      <c r="F148" s="7"/>
      <c r="G148" s="51"/>
      <c r="H148" s="7"/>
      <c r="I148" s="7"/>
      <c r="J148" s="7"/>
      <c r="K148" s="7"/>
      <c r="L148" s="7"/>
      <c r="M148" s="7"/>
    </row>
    <row r="149" spans="1:13" ht="13.5">
      <c r="A149" s="7"/>
      <c r="B149" s="7"/>
      <c r="C149" s="7"/>
      <c r="D149" s="7"/>
      <c r="E149" s="7"/>
      <c r="F149" s="7"/>
      <c r="G149" s="51"/>
      <c r="H149" s="7"/>
      <c r="I149" s="7"/>
      <c r="J149" s="7"/>
      <c r="K149" s="7"/>
      <c r="L149" s="7"/>
      <c r="M149" s="7"/>
    </row>
    <row r="150" spans="1:13" ht="13.5">
      <c r="A150" s="7"/>
      <c r="B150" s="7"/>
      <c r="C150" s="7"/>
      <c r="D150" s="7"/>
      <c r="E150" s="7"/>
      <c r="F150" s="7"/>
      <c r="G150" s="51"/>
      <c r="H150" s="7"/>
      <c r="I150" s="7"/>
      <c r="J150" s="7"/>
      <c r="K150" s="7"/>
      <c r="L150" s="7"/>
      <c r="M150" s="7"/>
    </row>
    <row r="151" spans="1:13" ht="13.5">
      <c r="A151" s="7"/>
      <c r="B151" s="7"/>
      <c r="C151" s="7"/>
      <c r="D151" s="7"/>
      <c r="E151" s="7"/>
      <c r="F151" s="7"/>
      <c r="G151" s="51"/>
      <c r="H151" s="7"/>
      <c r="I151" s="7"/>
      <c r="J151" s="7"/>
      <c r="K151" s="7"/>
      <c r="L151" s="7"/>
      <c r="M151" s="7"/>
    </row>
    <row r="152" spans="1:13" ht="13.5">
      <c r="A152" s="7"/>
      <c r="B152" s="7"/>
      <c r="C152" s="7"/>
      <c r="D152" s="7"/>
      <c r="E152" s="7"/>
      <c r="F152" s="7"/>
      <c r="G152" s="51"/>
      <c r="H152" s="7"/>
      <c r="I152" s="7"/>
      <c r="J152" s="7"/>
      <c r="K152" s="7"/>
      <c r="L152" s="7"/>
      <c r="M152" s="7"/>
    </row>
    <row r="153" spans="1:13" ht="13.5">
      <c r="A153" s="7"/>
      <c r="B153" s="7"/>
      <c r="C153" s="7"/>
      <c r="D153" s="7"/>
      <c r="E153" s="7"/>
      <c r="F153" s="7"/>
      <c r="G153" s="51"/>
      <c r="H153" s="7"/>
      <c r="I153" s="7"/>
      <c r="J153" s="7"/>
      <c r="K153" s="7"/>
      <c r="L153" s="7"/>
      <c r="M153" s="7"/>
    </row>
    <row r="154" spans="1:13" ht="13.5">
      <c r="A154" s="7"/>
      <c r="B154" s="7"/>
      <c r="C154" s="7"/>
      <c r="D154" s="7"/>
      <c r="E154" s="7"/>
      <c r="F154" s="7"/>
      <c r="G154" s="51"/>
      <c r="H154" s="7"/>
      <c r="I154" s="7"/>
      <c r="J154" s="7"/>
      <c r="K154" s="7"/>
      <c r="L154" s="7"/>
      <c r="M154" s="7"/>
    </row>
    <row r="155" spans="1:13" ht="13.5">
      <c r="A155" s="7"/>
      <c r="B155" s="7"/>
      <c r="C155" s="7"/>
      <c r="D155" s="7"/>
      <c r="E155" s="7"/>
      <c r="F155" s="7"/>
      <c r="G155" s="51"/>
      <c r="H155" s="7"/>
      <c r="I155" s="7"/>
      <c r="J155" s="7"/>
      <c r="K155" s="7"/>
      <c r="L155" s="7"/>
      <c r="M155" s="7"/>
    </row>
    <row r="156" spans="1:13" ht="13.5">
      <c r="A156" s="7"/>
      <c r="B156" s="7"/>
      <c r="C156" s="7"/>
      <c r="D156" s="7"/>
      <c r="E156" s="7"/>
      <c r="F156" s="7"/>
      <c r="G156" s="51"/>
      <c r="H156" s="7"/>
      <c r="I156" s="7"/>
      <c r="J156" s="7"/>
      <c r="K156" s="7"/>
      <c r="L156" s="7"/>
      <c r="M156" s="7"/>
    </row>
    <row r="157" spans="1:13" ht="13.5">
      <c r="A157" s="7"/>
      <c r="B157" s="7"/>
      <c r="C157" s="7"/>
      <c r="D157" s="7"/>
      <c r="E157" s="7"/>
      <c r="F157" s="7"/>
      <c r="G157" s="51"/>
      <c r="H157" s="7"/>
      <c r="I157" s="7"/>
      <c r="J157" s="7"/>
      <c r="K157" s="7"/>
      <c r="L157" s="7"/>
      <c r="M157" s="7"/>
    </row>
    <row r="158" spans="1:13" ht="13.5">
      <c r="A158" s="7"/>
      <c r="B158" s="7"/>
      <c r="C158" s="7"/>
      <c r="D158" s="7"/>
      <c r="E158" s="7"/>
      <c r="F158" s="7"/>
      <c r="G158" s="51"/>
      <c r="H158" s="7"/>
      <c r="I158" s="7"/>
      <c r="J158" s="7"/>
      <c r="K158" s="7"/>
      <c r="L158" s="7"/>
      <c r="M158" s="7"/>
    </row>
    <row r="159" spans="1:13" ht="13.5">
      <c r="A159" s="7"/>
      <c r="B159" s="7"/>
      <c r="C159" s="7"/>
      <c r="D159" s="7"/>
      <c r="E159" s="7"/>
      <c r="F159" s="7"/>
      <c r="G159" s="51"/>
      <c r="H159" s="7"/>
      <c r="I159" s="7"/>
      <c r="J159" s="7"/>
      <c r="K159" s="7"/>
      <c r="L159" s="7"/>
      <c r="M159" s="7"/>
    </row>
    <row r="160" spans="1:13" ht="13.5">
      <c r="A160" s="7"/>
      <c r="B160" s="7"/>
      <c r="C160" s="7"/>
      <c r="D160" s="7"/>
      <c r="E160" s="7"/>
      <c r="F160" s="7"/>
      <c r="G160" s="51"/>
      <c r="H160" s="7"/>
      <c r="I160" s="7"/>
      <c r="J160" s="7"/>
      <c r="K160" s="7"/>
      <c r="L160" s="7"/>
      <c r="M160" s="7"/>
    </row>
    <row r="161" spans="1:13" ht="13.5">
      <c r="A161" s="7"/>
      <c r="B161" s="7"/>
      <c r="C161" s="7"/>
      <c r="D161" s="7"/>
      <c r="E161" s="7"/>
      <c r="F161" s="7"/>
      <c r="G161" s="51"/>
      <c r="H161" s="7"/>
      <c r="I161" s="7"/>
      <c r="J161" s="7"/>
      <c r="K161" s="7"/>
      <c r="L161" s="7"/>
      <c r="M161" s="7"/>
    </row>
    <row r="162" spans="1:13" ht="13.5">
      <c r="A162" s="7"/>
      <c r="B162" s="7"/>
      <c r="C162" s="7"/>
      <c r="D162" s="7"/>
      <c r="E162" s="7"/>
      <c r="F162" s="7"/>
      <c r="G162" s="51"/>
      <c r="H162" s="7"/>
      <c r="I162" s="7"/>
      <c r="J162" s="7"/>
      <c r="K162" s="7"/>
      <c r="L162" s="7"/>
      <c r="M162" s="7"/>
    </row>
    <row r="163" spans="1:13" ht="13.5">
      <c r="A163" s="7"/>
      <c r="B163" s="7"/>
      <c r="C163" s="7"/>
      <c r="D163" s="7"/>
      <c r="E163" s="7"/>
      <c r="F163" s="7"/>
      <c r="G163" s="51"/>
      <c r="H163" s="7"/>
      <c r="I163" s="7"/>
      <c r="J163" s="7"/>
      <c r="K163" s="7"/>
      <c r="L163" s="7"/>
      <c r="M163" s="7"/>
    </row>
    <row r="164" spans="1:13" ht="13.5">
      <c r="A164" s="7"/>
      <c r="B164" s="7"/>
      <c r="C164" s="7"/>
      <c r="D164" s="7"/>
      <c r="E164" s="7"/>
      <c r="F164" s="7"/>
      <c r="G164" s="51"/>
      <c r="H164" s="7"/>
      <c r="I164" s="7"/>
      <c r="J164" s="7"/>
      <c r="K164" s="7"/>
      <c r="L164" s="7"/>
      <c r="M164" s="7"/>
    </row>
    <row r="165" spans="1:13" ht="13.5">
      <c r="A165" s="7"/>
      <c r="B165" s="7"/>
      <c r="C165" s="7"/>
      <c r="D165" s="7"/>
      <c r="E165" s="7"/>
      <c r="F165" s="7"/>
      <c r="G165" s="51"/>
      <c r="H165" s="7"/>
      <c r="I165" s="7"/>
      <c r="J165" s="7"/>
      <c r="K165" s="7"/>
      <c r="L165" s="7"/>
      <c r="M165" s="7"/>
    </row>
    <row r="166" spans="1:13" ht="13.5">
      <c r="A166" s="7"/>
      <c r="B166" s="7"/>
      <c r="C166" s="7"/>
      <c r="D166" s="7"/>
      <c r="E166" s="7"/>
      <c r="F166" s="7"/>
      <c r="G166" s="51"/>
      <c r="H166" s="7"/>
      <c r="I166" s="7"/>
      <c r="J166" s="7"/>
      <c r="K166" s="7"/>
      <c r="L166" s="7"/>
      <c r="M166" s="7"/>
    </row>
    <row r="167" spans="1:13" ht="13.5">
      <c r="A167" s="7"/>
      <c r="B167" s="7"/>
      <c r="C167" s="7"/>
      <c r="D167" s="7"/>
      <c r="E167" s="7"/>
      <c r="F167" s="7"/>
      <c r="G167" s="51"/>
      <c r="H167" s="7"/>
      <c r="I167" s="7"/>
      <c r="J167" s="7"/>
      <c r="K167" s="7"/>
      <c r="L167" s="7"/>
      <c r="M167" s="7"/>
    </row>
    <row r="168" spans="1:13" ht="13.5">
      <c r="A168" s="7"/>
      <c r="B168" s="7"/>
      <c r="C168" s="7"/>
      <c r="D168" s="7"/>
      <c r="E168" s="7"/>
      <c r="F168" s="7"/>
      <c r="G168" s="51"/>
      <c r="H168" s="7"/>
      <c r="I168" s="7"/>
      <c r="J168" s="7"/>
      <c r="K168" s="7"/>
      <c r="L168" s="7"/>
      <c r="M168" s="7"/>
    </row>
    <row r="169" spans="1:13" ht="13.5">
      <c r="A169" s="7"/>
      <c r="B169" s="7"/>
      <c r="C169" s="7"/>
      <c r="D169" s="7"/>
      <c r="E169" s="7"/>
      <c r="F169" s="7"/>
      <c r="G169" s="51"/>
      <c r="H169" s="7"/>
      <c r="I169" s="7"/>
      <c r="J169" s="7"/>
      <c r="K169" s="7"/>
      <c r="L169" s="7"/>
      <c r="M169" s="7"/>
    </row>
    <row r="170" spans="1:13" ht="13.5">
      <c r="A170" s="7"/>
      <c r="B170" s="7"/>
      <c r="C170" s="7"/>
      <c r="D170" s="7"/>
      <c r="E170" s="7"/>
      <c r="F170" s="7"/>
      <c r="G170" s="51"/>
      <c r="H170" s="7"/>
      <c r="I170" s="7"/>
      <c r="J170" s="7"/>
      <c r="K170" s="7"/>
      <c r="L170" s="7"/>
      <c r="M170" s="7"/>
    </row>
    <row r="171" spans="1:13" ht="13.5">
      <c r="A171" s="7"/>
      <c r="B171" s="7"/>
      <c r="C171" s="7"/>
      <c r="D171" s="7"/>
      <c r="E171" s="7"/>
      <c r="F171" s="7"/>
      <c r="G171" s="51"/>
      <c r="H171" s="7"/>
      <c r="I171" s="7"/>
      <c r="J171" s="7"/>
      <c r="K171" s="7"/>
      <c r="L171" s="7"/>
      <c r="M171" s="7"/>
    </row>
    <row r="172" spans="1:13" ht="13.5">
      <c r="A172" s="7"/>
      <c r="B172" s="7"/>
      <c r="C172" s="7"/>
      <c r="D172" s="7"/>
      <c r="E172" s="7"/>
      <c r="F172" s="7"/>
      <c r="G172" s="51"/>
      <c r="H172" s="7"/>
      <c r="I172" s="7"/>
      <c r="J172" s="7"/>
      <c r="K172" s="7"/>
      <c r="L172" s="7"/>
      <c r="M172" s="7"/>
    </row>
    <row r="173" spans="1:13" ht="13.5">
      <c r="A173" s="7"/>
      <c r="B173" s="7"/>
      <c r="C173" s="7"/>
      <c r="D173" s="7"/>
      <c r="E173" s="7"/>
      <c r="F173" s="7"/>
      <c r="G173" s="51"/>
      <c r="H173" s="7"/>
      <c r="I173" s="7"/>
      <c r="J173" s="7"/>
      <c r="K173" s="7"/>
      <c r="L173" s="7"/>
      <c r="M173" s="7"/>
    </row>
    <row r="174" spans="1:13" ht="13.5">
      <c r="A174" s="7"/>
      <c r="B174" s="7"/>
      <c r="C174" s="7"/>
      <c r="D174" s="7"/>
      <c r="E174" s="7"/>
      <c r="F174" s="7"/>
      <c r="G174" s="51"/>
      <c r="H174" s="7"/>
      <c r="I174" s="7"/>
      <c r="J174" s="7"/>
      <c r="K174" s="7"/>
      <c r="L174" s="7"/>
      <c r="M174" s="7"/>
    </row>
    <row r="175" spans="1:13" ht="13.5">
      <c r="A175" s="7"/>
      <c r="B175" s="7"/>
      <c r="C175" s="7"/>
      <c r="D175" s="7"/>
      <c r="E175" s="7"/>
      <c r="F175" s="7"/>
      <c r="G175" s="51"/>
      <c r="H175" s="7"/>
      <c r="I175" s="7"/>
      <c r="J175" s="7"/>
      <c r="K175" s="7"/>
      <c r="L175" s="7"/>
      <c r="M175" s="7"/>
    </row>
    <row r="176" spans="1:13" ht="13.5">
      <c r="A176" s="7"/>
      <c r="B176" s="7"/>
      <c r="C176" s="7"/>
      <c r="D176" s="7"/>
      <c r="E176" s="7"/>
      <c r="F176" s="7"/>
      <c r="G176" s="51"/>
      <c r="H176" s="7"/>
      <c r="I176" s="7"/>
      <c r="J176" s="7"/>
      <c r="K176" s="7"/>
      <c r="L176" s="7"/>
      <c r="M176" s="7"/>
    </row>
    <row r="177" spans="1:13" ht="13.5">
      <c r="A177" s="7"/>
      <c r="B177" s="7"/>
      <c r="C177" s="7"/>
      <c r="D177" s="7"/>
      <c r="E177" s="7"/>
      <c r="F177" s="7"/>
      <c r="G177" s="51"/>
      <c r="H177" s="7"/>
      <c r="I177" s="7"/>
      <c r="J177" s="7"/>
      <c r="K177" s="7"/>
      <c r="L177" s="7"/>
      <c r="M177" s="7"/>
    </row>
    <row r="178" spans="1:13" ht="13.5">
      <c r="A178" s="7"/>
      <c r="B178" s="7"/>
      <c r="C178" s="7"/>
      <c r="D178" s="7"/>
      <c r="E178" s="7"/>
      <c r="F178" s="7"/>
      <c r="G178" s="51"/>
      <c r="H178" s="7"/>
      <c r="I178" s="7"/>
      <c r="J178" s="7"/>
      <c r="K178" s="7"/>
      <c r="L178" s="7"/>
      <c r="M178" s="7"/>
    </row>
    <row r="179" spans="1:13" ht="13.5">
      <c r="A179" s="7"/>
      <c r="B179" s="7"/>
      <c r="C179" s="7"/>
      <c r="D179" s="7"/>
      <c r="E179" s="7"/>
      <c r="F179" s="7"/>
      <c r="G179" s="51"/>
      <c r="H179" s="7"/>
      <c r="I179" s="7"/>
      <c r="J179" s="7"/>
      <c r="K179" s="7"/>
      <c r="L179" s="7"/>
      <c r="M179" s="7"/>
    </row>
    <row r="180" spans="1:13" ht="13.5">
      <c r="A180" s="7"/>
      <c r="B180" s="7"/>
      <c r="C180" s="7"/>
      <c r="D180" s="7"/>
      <c r="E180" s="7"/>
      <c r="F180" s="7"/>
      <c r="G180" s="51"/>
      <c r="H180" s="7"/>
      <c r="I180" s="7"/>
      <c r="J180" s="7"/>
      <c r="K180" s="7"/>
      <c r="L180" s="7"/>
      <c r="M180" s="7"/>
    </row>
    <row r="181" spans="1:13" ht="13.5">
      <c r="A181" s="7"/>
      <c r="B181" s="7"/>
      <c r="C181" s="7"/>
      <c r="D181" s="7"/>
      <c r="E181" s="7"/>
      <c r="F181" s="7"/>
      <c r="G181" s="51"/>
      <c r="H181" s="7"/>
      <c r="I181" s="7"/>
      <c r="J181" s="7"/>
      <c r="K181" s="7"/>
      <c r="L181" s="7"/>
      <c r="M181" s="7"/>
    </row>
    <row r="182" spans="1:13" ht="13.5">
      <c r="A182" s="7"/>
      <c r="B182" s="7"/>
      <c r="C182" s="7"/>
      <c r="D182" s="7"/>
      <c r="E182" s="7"/>
      <c r="F182" s="7"/>
      <c r="G182" s="51"/>
      <c r="H182" s="7"/>
      <c r="I182" s="7"/>
      <c r="J182" s="7"/>
      <c r="K182" s="7"/>
      <c r="L182" s="7"/>
      <c r="M182" s="7"/>
    </row>
    <row r="183" spans="1:13" ht="13.5">
      <c r="A183" s="7"/>
      <c r="B183" s="7"/>
      <c r="C183" s="7"/>
      <c r="D183" s="7"/>
      <c r="E183" s="7"/>
      <c r="F183" s="7"/>
      <c r="G183" s="51"/>
      <c r="H183" s="7"/>
      <c r="I183" s="7"/>
      <c r="J183" s="7"/>
      <c r="K183" s="7"/>
      <c r="L183" s="7"/>
      <c r="M183" s="7"/>
    </row>
    <row r="184" spans="1:13" ht="13.5">
      <c r="A184" s="7"/>
      <c r="B184" s="7"/>
      <c r="C184" s="7"/>
      <c r="D184" s="7"/>
      <c r="E184" s="7"/>
      <c r="F184" s="7"/>
      <c r="G184" s="51"/>
      <c r="H184" s="7"/>
      <c r="I184" s="7"/>
      <c r="J184" s="7"/>
      <c r="K184" s="7"/>
      <c r="L184" s="7"/>
      <c r="M184" s="7"/>
    </row>
    <row r="185" spans="1:13" ht="13.5">
      <c r="A185" s="7"/>
      <c r="B185" s="7"/>
      <c r="C185" s="7"/>
      <c r="D185" s="7"/>
      <c r="E185" s="7"/>
      <c r="F185" s="7"/>
      <c r="G185" s="51"/>
      <c r="H185" s="7"/>
      <c r="I185" s="7"/>
      <c r="J185" s="7"/>
      <c r="K185" s="7"/>
      <c r="L185" s="7"/>
      <c r="M185" s="7"/>
    </row>
    <row r="186" spans="1:13" ht="13.5">
      <c r="A186" s="7"/>
      <c r="B186" s="7"/>
      <c r="C186" s="7"/>
      <c r="D186" s="7"/>
      <c r="E186" s="7"/>
      <c r="F186" s="7"/>
      <c r="G186" s="51"/>
      <c r="H186" s="7"/>
      <c r="I186" s="7"/>
      <c r="J186" s="7"/>
      <c r="K186" s="7"/>
      <c r="L186" s="7"/>
      <c r="M186" s="7"/>
    </row>
    <row r="187" spans="1:13" ht="13.5">
      <c r="A187" s="7"/>
      <c r="B187" s="7"/>
      <c r="C187" s="7"/>
      <c r="D187" s="7"/>
      <c r="E187" s="7"/>
      <c r="F187" s="7"/>
      <c r="G187" s="51"/>
      <c r="H187" s="7"/>
      <c r="I187" s="7"/>
      <c r="J187" s="7"/>
      <c r="K187" s="7"/>
      <c r="L187" s="7"/>
      <c r="M187" s="7"/>
    </row>
    <row r="188" spans="1:13" ht="13.5">
      <c r="A188" s="7"/>
      <c r="B188" s="7"/>
      <c r="C188" s="7"/>
      <c r="D188" s="7"/>
      <c r="E188" s="7"/>
      <c r="F188" s="7"/>
      <c r="G188" s="51"/>
      <c r="H188" s="7"/>
      <c r="I188" s="7"/>
      <c r="J188" s="7"/>
      <c r="K188" s="7"/>
      <c r="L188" s="7"/>
      <c r="M188" s="7"/>
    </row>
    <row r="189" spans="1:13" ht="13.5">
      <c r="A189" s="7"/>
      <c r="B189" s="7"/>
      <c r="C189" s="7"/>
      <c r="D189" s="7"/>
      <c r="E189" s="7"/>
      <c r="F189" s="7"/>
      <c r="G189" s="51"/>
      <c r="H189" s="7"/>
      <c r="I189" s="7"/>
      <c r="J189" s="7"/>
      <c r="K189" s="7"/>
      <c r="L189" s="7"/>
      <c r="M189" s="7"/>
    </row>
    <row r="190" spans="1:13" ht="13.5">
      <c r="A190" s="7"/>
      <c r="B190" s="7"/>
      <c r="C190" s="7"/>
      <c r="D190" s="7"/>
      <c r="E190" s="7"/>
      <c r="F190" s="7"/>
      <c r="G190" s="51"/>
      <c r="H190" s="7"/>
      <c r="I190" s="7"/>
      <c r="J190" s="7"/>
      <c r="K190" s="7"/>
      <c r="L190" s="7"/>
      <c r="M190" s="7"/>
    </row>
    <row r="191" spans="1:13" ht="13.5">
      <c r="A191" s="7"/>
      <c r="B191" s="7"/>
      <c r="C191" s="7"/>
      <c r="D191" s="7"/>
      <c r="E191" s="7"/>
      <c r="F191" s="7"/>
      <c r="G191" s="51"/>
      <c r="H191" s="7"/>
      <c r="I191" s="7"/>
      <c r="J191" s="7"/>
      <c r="K191" s="7"/>
      <c r="L191" s="7"/>
      <c r="M191" s="7"/>
    </row>
    <row r="192" spans="1:13" ht="13.5">
      <c r="A192" s="7"/>
      <c r="B192" s="7"/>
      <c r="C192" s="7"/>
      <c r="D192" s="7"/>
      <c r="E192" s="7"/>
      <c r="F192" s="7"/>
      <c r="G192" s="51"/>
      <c r="H192" s="7"/>
      <c r="I192" s="7"/>
      <c r="J192" s="7"/>
      <c r="K192" s="7"/>
      <c r="L192" s="7"/>
      <c r="M192" s="7"/>
    </row>
    <row r="193" spans="1:13" ht="13.5">
      <c r="A193" s="7"/>
      <c r="B193" s="7"/>
      <c r="C193" s="7"/>
      <c r="D193" s="7"/>
      <c r="E193" s="7"/>
      <c r="F193" s="7"/>
      <c r="G193" s="51"/>
      <c r="H193" s="7"/>
      <c r="I193" s="7"/>
      <c r="J193" s="7"/>
      <c r="K193" s="7"/>
      <c r="L193" s="7"/>
      <c r="M193" s="7"/>
    </row>
    <row r="194" spans="1:13" ht="13.5">
      <c r="A194" s="7"/>
      <c r="B194" s="7"/>
      <c r="C194" s="7"/>
      <c r="D194" s="7"/>
      <c r="E194" s="7"/>
      <c r="F194" s="7"/>
      <c r="G194" s="51"/>
      <c r="H194" s="7"/>
      <c r="I194" s="7"/>
      <c r="J194" s="7"/>
      <c r="K194" s="7"/>
      <c r="L194" s="7"/>
      <c r="M194" s="7"/>
    </row>
    <row r="195" spans="1:13" ht="13.5">
      <c r="A195" s="7"/>
      <c r="B195" s="7"/>
      <c r="C195" s="7"/>
      <c r="D195" s="7"/>
      <c r="E195" s="7"/>
      <c r="F195" s="7"/>
      <c r="G195" s="51"/>
      <c r="H195" s="7"/>
      <c r="I195" s="7"/>
      <c r="J195" s="7"/>
      <c r="K195" s="7"/>
      <c r="L195" s="7"/>
      <c r="M195" s="7"/>
    </row>
    <row r="196" spans="1:13" ht="13.5">
      <c r="A196" s="7"/>
      <c r="B196" s="7"/>
      <c r="C196" s="7"/>
      <c r="D196" s="7"/>
      <c r="E196" s="7"/>
      <c r="F196" s="7"/>
      <c r="G196" s="51"/>
      <c r="H196" s="7"/>
      <c r="I196" s="7"/>
      <c r="J196" s="7"/>
      <c r="K196" s="7"/>
      <c r="L196" s="7"/>
      <c r="M196" s="7"/>
    </row>
    <row r="197" spans="1:13" ht="13.5">
      <c r="A197" s="7"/>
      <c r="B197" s="7"/>
      <c r="C197" s="7"/>
      <c r="D197" s="7"/>
      <c r="E197" s="7"/>
      <c r="F197" s="7"/>
      <c r="G197" s="51"/>
      <c r="H197" s="7"/>
      <c r="I197" s="7"/>
      <c r="J197" s="7"/>
      <c r="K197" s="7"/>
      <c r="L197" s="7"/>
      <c r="M197" s="7"/>
    </row>
    <row r="198" spans="1:13" ht="13.5">
      <c r="A198" s="7"/>
      <c r="B198" s="7"/>
      <c r="C198" s="7"/>
      <c r="D198" s="7"/>
      <c r="E198" s="7"/>
      <c r="F198" s="7"/>
      <c r="G198" s="51"/>
      <c r="H198" s="7"/>
      <c r="I198" s="7"/>
      <c r="J198" s="7"/>
      <c r="K198" s="7"/>
      <c r="L198" s="7"/>
      <c r="M198" s="7"/>
    </row>
    <row r="199" spans="1:13" ht="13.5">
      <c r="A199" s="7"/>
      <c r="B199" s="7"/>
      <c r="C199" s="7"/>
      <c r="D199" s="7"/>
      <c r="E199" s="7"/>
      <c r="F199" s="7"/>
      <c r="G199" s="51"/>
      <c r="H199" s="7"/>
      <c r="I199" s="7"/>
      <c r="J199" s="7"/>
      <c r="K199" s="7"/>
      <c r="L199" s="7"/>
      <c r="M199" s="7"/>
    </row>
    <row r="200" spans="1:13" ht="13.5">
      <c r="A200" s="7"/>
      <c r="B200" s="7"/>
      <c r="C200" s="7"/>
      <c r="D200" s="7"/>
      <c r="E200" s="7"/>
      <c r="F200" s="7"/>
      <c r="G200" s="51"/>
      <c r="H200" s="7"/>
      <c r="I200" s="7"/>
      <c r="J200" s="7"/>
      <c r="K200" s="7"/>
      <c r="L200" s="7"/>
      <c r="M200" s="7"/>
    </row>
    <row r="201" spans="1:13" ht="13.5">
      <c r="A201" s="7"/>
      <c r="B201" s="7"/>
      <c r="C201" s="7"/>
      <c r="D201" s="7"/>
      <c r="E201" s="7"/>
      <c r="F201" s="7"/>
      <c r="G201" s="51"/>
      <c r="H201" s="7"/>
      <c r="I201" s="7"/>
      <c r="J201" s="7"/>
      <c r="K201" s="7"/>
      <c r="L201" s="7"/>
      <c r="M201" s="7"/>
    </row>
    <row r="202" spans="1:13" ht="13.5">
      <c r="A202" s="7"/>
      <c r="B202" s="7"/>
      <c r="C202" s="7"/>
      <c r="D202" s="7"/>
      <c r="E202" s="7"/>
      <c r="F202" s="7"/>
      <c r="G202" s="51"/>
      <c r="H202" s="7"/>
      <c r="I202" s="7"/>
      <c r="J202" s="7"/>
      <c r="K202" s="7"/>
      <c r="L202" s="7"/>
      <c r="M202" s="7"/>
    </row>
    <row r="203" spans="1:13" ht="13.5">
      <c r="A203" s="7"/>
      <c r="B203" s="7"/>
      <c r="C203" s="7"/>
      <c r="D203" s="7"/>
      <c r="E203" s="7"/>
      <c r="F203" s="7"/>
      <c r="G203" s="51"/>
      <c r="H203" s="7"/>
      <c r="I203" s="7"/>
      <c r="J203" s="7"/>
      <c r="K203" s="7"/>
      <c r="L203" s="7"/>
      <c r="M203" s="7"/>
    </row>
  </sheetData>
  <sheetProtection/>
  <mergeCells count="15">
    <mergeCell ref="C5:E5"/>
    <mergeCell ref="K2:L2"/>
    <mergeCell ref="F3:L3"/>
    <mergeCell ref="F4:L4"/>
    <mergeCell ref="F5:L5"/>
    <mergeCell ref="G6:H7"/>
    <mergeCell ref="N16:P19"/>
    <mergeCell ref="I2:J2"/>
    <mergeCell ref="B6:B7"/>
    <mergeCell ref="B2:B3"/>
    <mergeCell ref="C2:E2"/>
    <mergeCell ref="C3:E3"/>
    <mergeCell ref="F2:H2"/>
    <mergeCell ref="B4:B5"/>
    <mergeCell ref="C4:E4"/>
  </mergeCells>
  <printOptions/>
  <pageMargins left="1.1811023622047245" right="0.1968503937007874" top="0.3937007874015748" bottom="0.3937007874015748" header="0.5118110236220472" footer="0.5118110236220472"/>
  <pageSetup fitToHeight="1" fitToWidth="1" horizontalDpi="600" verticalDpi="600" orientation="portrait" paperSize="9" scale="60" r:id="rId3"/>
  <headerFooter alignWithMargins="0">
    <oddFooter>&amp;LTuotelaskelma v4_20060421&amp;R&amp;D&amp;T&amp;Z&amp;F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0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0.71875" style="1" customWidth="1"/>
    <col min="2" max="2" width="28.28125" style="1" customWidth="1"/>
    <col min="3" max="7" width="8.7109375" style="1" customWidth="1"/>
    <col min="8" max="8" width="9.7109375" style="1" customWidth="1"/>
    <col min="9" max="11" width="8.7109375" style="1" customWidth="1"/>
    <col min="12" max="12" width="9.28125" style="1" customWidth="1"/>
    <col min="13" max="13" width="0.71875" style="1" customWidth="1"/>
    <col min="76" max="16384" width="9.140625" style="1" customWidth="1"/>
  </cols>
  <sheetData>
    <row r="1" spans="1:13" ht="5.25" customHeight="1" thickBot="1">
      <c r="A1" s="138"/>
      <c r="B1" s="133"/>
      <c r="C1" s="134"/>
      <c r="D1" s="134"/>
      <c r="E1" s="134"/>
      <c r="F1" s="134"/>
      <c r="G1" s="134"/>
      <c r="H1" s="134"/>
      <c r="I1" s="134"/>
      <c r="J1" s="135"/>
      <c r="K1" s="134"/>
      <c r="L1" s="136"/>
      <c r="M1" s="138"/>
    </row>
    <row r="2" spans="1:14" ht="15" customHeight="1">
      <c r="A2" s="128"/>
      <c r="B2" s="284"/>
      <c r="C2" s="239" t="s">
        <v>114</v>
      </c>
      <c r="D2" s="240"/>
      <c r="E2" s="241"/>
      <c r="F2" s="294" t="str">
        <f>Product!F2</f>
        <v>Kari Kolehmainen</v>
      </c>
      <c r="G2" s="295"/>
      <c r="H2" s="245"/>
      <c r="I2" s="233" t="s">
        <v>73</v>
      </c>
      <c r="J2" s="234"/>
      <c r="K2" s="286" t="str">
        <f>Product!K2</f>
        <v>22.1 2014</v>
      </c>
      <c r="L2" s="287"/>
      <c r="M2" s="128"/>
      <c r="N2" t="s">
        <v>31</v>
      </c>
    </row>
    <row r="3" spans="1:14" ht="15" customHeight="1">
      <c r="A3" s="123"/>
      <c r="B3" s="285"/>
      <c r="C3" s="288" t="s">
        <v>69</v>
      </c>
      <c r="D3" s="289"/>
      <c r="E3" s="290"/>
      <c r="F3" s="291">
        <f>Product!F3</f>
        <v>0</v>
      </c>
      <c r="G3" s="292"/>
      <c r="H3" s="292"/>
      <c r="I3" s="292"/>
      <c r="J3" s="292"/>
      <c r="K3" s="292"/>
      <c r="L3" s="293"/>
      <c r="M3" s="123"/>
      <c r="N3" t="s">
        <v>30</v>
      </c>
    </row>
    <row r="4" spans="1:14" ht="15" customHeight="1">
      <c r="A4" s="129"/>
      <c r="B4" s="273" t="s">
        <v>67</v>
      </c>
      <c r="C4" s="288" t="s">
        <v>70</v>
      </c>
      <c r="D4" s="289"/>
      <c r="E4" s="290"/>
      <c r="F4" s="291" t="s">
        <v>147</v>
      </c>
      <c r="G4" s="292"/>
      <c r="H4" s="292"/>
      <c r="I4" s="292"/>
      <c r="J4" s="292"/>
      <c r="K4" s="292"/>
      <c r="L4" s="293"/>
      <c r="M4" s="129"/>
      <c r="N4" t="s">
        <v>59</v>
      </c>
    </row>
    <row r="5" spans="1:14" ht="15" customHeight="1" thickBot="1">
      <c r="A5" s="129"/>
      <c r="B5" s="273"/>
      <c r="C5" s="288"/>
      <c r="D5" s="289"/>
      <c r="E5" s="290"/>
      <c r="F5" s="296" t="s">
        <v>164</v>
      </c>
      <c r="G5" s="297"/>
      <c r="H5" s="297"/>
      <c r="I5" s="297"/>
      <c r="J5" s="297"/>
      <c r="K5" s="297"/>
      <c r="L5" s="298"/>
      <c r="M5" s="129"/>
      <c r="N5" s="187" t="s">
        <v>58</v>
      </c>
    </row>
    <row r="6" spans="1:14" ht="12.75" customHeight="1">
      <c r="A6" s="129"/>
      <c r="B6" s="273" t="s">
        <v>74</v>
      </c>
      <c r="C6" s="79" t="s">
        <v>71</v>
      </c>
      <c r="D6" s="77"/>
      <c r="E6" s="77"/>
      <c r="F6" s="197" t="s">
        <v>90</v>
      </c>
      <c r="G6" s="277"/>
      <c r="H6" s="278"/>
      <c r="I6" s="174" t="s">
        <v>98</v>
      </c>
      <c r="J6" s="113"/>
      <c r="K6" s="176" t="s">
        <v>99</v>
      </c>
      <c r="L6" s="176" t="s">
        <v>100</v>
      </c>
      <c r="M6" s="129"/>
      <c r="N6" t="s">
        <v>32</v>
      </c>
    </row>
    <row r="7" spans="1:14" ht="12.75" customHeight="1" thickBot="1">
      <c r="A7" s="129"/>
      <c r="B7" s="273"/>
      <c r="C7" s="80"/>
      <c r="D7" s="78"/>
      <c r="E7" s="78"/>
      <c r="F7" s="198" t="s">
        <v>50</v>
      </c>
      <c r="G7" s="279"/>
      <c r="H7" s="280"/>
      <c r="I7" s="185">
        <v>40</v>
      </c>
      <c r="J7" s="177" t="s">
        <v>97</v>
      </c>
      <c r="K7" s="196">
        <v>20</v>
      </c>
      <c r="L7" s="195">
        <v>20</v>
      </c>
      <c r="M7" s="129"/>
      <c r="N7" t="s">
        <v>33</v>
      </c>
    </row>
    <row r="8" spans="1:13" ht="19.5" customHeight="1" thickBot="1">
      <c r="A8" s="129"/>
      <c r="B8" s="27"/>
      <c r="C8" s="14"/>
      <c r="D8" s="55"/>
      <c r="E8" s="82"/>
      <c r="F8" s="48"/>
      <c r="G8" s="269" t="s">
        <v>112</v>
      </c>
      <c r="H8" s="269"/>
      <c r="I8" s="269"/>
      <c r="J8" s="269"/>
      <c r="K8" s="269"/>
      <c r="L8" s="270"/>
      <c r="M8" s="129"/>
    </row>
    <row r="9" spans="1:13" ht="19.5" customHeight="1" thickBot="1">
      <c r="A9" s="129"/>
      <c r="B9" s="15"/>
      <c r="C9" s="63"/>
      <c r="D9" s="72"/>
      <c r="E9" s="215" t="s">
        <v>110</v>
      </c>
      <c r="F9" s="221">
        <v>2</v>
      </c>
      <c r="G9" s="271"/>
      <c r="H9" s="271"/>
      <c r="I9" s="271"/>
      <c r="J9" s="271"/>
      <c r="K9" s="271"/>
      <c r="L9" s="272"/>
      <c r="M9" s="129"/>
    </row>
    <row r="10" spans="1:13" ht="5.25" customHeight="1" thickBot="1">
      <c r="A10" s="129"/>
      <c r="B10" s="124"/>
      <c r="C10" s="125"/>
      <c r="D10" s="121"/>
      <c r="E10" s="125"/>
      <c r="F10" s="121"/>
      <c r="G10" s="121"/>
      <c r="H10" s="125"/>
      <c r="I10" s="121"/>
      <c r="J10" s="125"/>
      <c r="K10" s="126"/>
      <c r="L10" s="127"/>
      <c r="M10" s="129"/>
    </row>
    <row r="11" spans="1:13" ht="24.75" customHeight="1" thickBot="1">
      <c r="A11" s="129"/>
      <c r="B11" s="17" t="s">
        <v>85</v>
      </c>
      <c r="C11" s="18"/>
      <c r="D11" s="19"/>
      <c r="E11" s="213" t="s">
        <v>109</v>
      </c>
      <c r="F11" s="216" t="s">
        <v>89</v>
      </c>
      <c r="G11" s="21" t="s">
        <v>95</v>
      </c>
      <c r="H11" s="213" t="s">
        <v>107</v>
      </c>
      <c r="I11" s="216" t="s">
        <v>108</v>
      </c>
      <c r="J11" s="213" t="s">
        <v>93</v>
      </c>
      <c r="K11" s="218" t="s">
        <v>101</v>
      </c>
      <c r="L11" s="23" t="s">
        <v>81</v>
      </c>
      <c r="M11" s="129"/>
    </row>
    <row r="12" spans="1:13" ht="13.5" thickBot="1">
      <c r="A12" s="130"/>
      <c r="B12" s="14"/>
      <c r="C12" s="2"/>
      <c r="D12" s="3"/>
      <c r="E12" s="102">
        <f>IF($E$45&lt;&gt;0,(60/$E$45*(L12-J12)),0)</f>
        <v>28.097669565217394</v>
      </c>
      <c r="F12" s="103">
        <f>(E45/60)*$I$7</f>
        <v>0.5</v>
      </c>
      <c r="G12" s="111">
        <f>G21+G28+G45+G53+G61</f>
        <v>0.363</v>
      </c>
      <c r="H12" s="104">
        <f>(J12-G12)*$K$7</f>
        <v>0.020799999999999708</v>
      </c>
      <c r="I12" s="104">
        <f>(L12-J12)*$K$7</f>
        <v>7.024417391304349</v>
      </c>
      <c r="J12" s="105">
        <f>SUM(J17:J61)</f>
        <v>0.36404</v>
      </c>
      <c r="K12" s="106">
        <f>IF(L12&lt;&gt;0,(L12-J12)/L12,0)</f>
        <v>0.49103884262354874</v>
      </c>
      <c r="L12" s="107">
        <f>L21+L28+L45+L53+L61</f>
        <v>0.7152608695652174</v>
      </c>
      <c r="M12" s="130"/>
    </row>
    <row r="13" spans="1:13" ht="13.5" thickBot="1">
      <c r="A13" s="129"/>
      <c r="B13" s="13"/>
      <c r="C13" s="2"/>
      <c r="D13" s="3"/>
      <c r="E13" s="3"/>
      <c r="F13" s="3"/>
      <c r="G13" s="3"/>
      <c r="H13" s="3"/>
      <c r="I13" s="3"/>
      <c r="J13" s="3"/>
      <c r="K13" s="3"/>
      <c r="L13" s="108" t="s">
        <v>94</v>
      </c>
      <c r="M13" s="129"/>
    </row>
    <row r="14" spans="1:13" ht="13.5" thickBot="1">
      <c r="A14" s="129"/>
      <c r="B14" s="15"/>
      <c r="C14" s="71"/>
      <c r="D14" s="16"/>
      <c r="E14" s="102">
        <f>IF($E$45&lt;&gt;0,(60/$E$45*(L14-J12)),0)</f>
        <v>28.4768</v>
      </c>
      <c r="F14" s="56"/>
      <c r="G14" s="112">
        <f>G12</f>
        <v>0.363</v>
      </c>
      <c r="H14" s="57"/>
      <c r="I14" s="104">
        <f>(L14-J12)*$K$7</f>
        <v>7.1192</v>
      </c>
      <c r="J14" s="58"/>
      <c r="K14" s="106">
        <f>IF(L14&lt;&gt;0,(L14-J12)/L14,"?")</f>
        <v>0.4943888888888889</v>
      </c>
      <c r="L14" s="188">
        <v>0.72</v>
      </c>
      <c r="M14" s="129"/>
    </row>
    <row r="15" spans="1:13" ht="5.25" customHeight="1" thickBot="1">
      <c r="A15" s="129"/>
      <c r="B15" s="120"/>
      <c r="C15" s="121"/>
      <c r="D15" s="121"/>
      <c r="E15" s="121"/>
      <c r="F15" s="121"/>
      <c r="G15" s="121"/>
      <c r="H15" s="121"/>
      <c r="I15" s="121"/>
      <c r="J15" s="122"/>
      <c r="K15" s="121"/>
      <c r="L15" s="123"/>
      <c r="M15" s="129"/>
    </row>
    <row r="16" spans="1:13" ht="24.75" customHeight="1">
      <c r="A16" s="129"/>
      <c r="B16" s="24" t="s">
        <v>82</v>
      </c>
      <c r="C16" s="210" t="s">
        <v>63</v>
      </c>
      <c r="D16" s="210" t="s">
        <v>64</v>
      </c>
      <c r="E16" s="211" t="s">
        <v>86</v>
      </c>
      <c r="F16" s="210" t="s">
        <v>76</v>
      </c>
      <c r="G16" s="31" t="s">
        <v>78</v>
      </c>
      <c r="H16" s="217" t="s">
        <v>106</v>
      </c>
      <c r="I16" s="210" t="s">
        <v>87</v>
      </c>
      <c r="J16" s="211" t="s">
        <v>93</v>
      </c>
      <c r="K16" s="161"/>
      <c r="L16" s="163" t="s">
        <v>81</v>
      </c>
      <c r="M16" s="129"/>
    </row>
    <row r="17" spans="1:13" ht="12" customHeight="1" thickBot="1">
      <c r="A17" s="129"/>
      <c r="B17" s="73" t="s">
        <v>148</v>
      </c>
      <c r="C17" s="29">
        <v>0.01</v>
      </c>
      <c r="D17" s="29">
        <v>1.3</v>
      </c>
      <c r="E17" s="226">
        <v>1</v>
      </c>
      <c r="F17" s="189">
        <f>D17*C17</f>
        <v>0.013000000000000001</v>
      </c>
      <c r="G17" s="101">
        <f>(E17*F17)</f>
        <v>0.013000000000000001</v>
      </c>
      <c r="H17" s="189">
        <v>1.08</v>
      </c>
      <c r="I17" s="89">
        <f>(G17*H17)</f>
        <v>0.014040000000000002</v>
      </c>
      <c r="J17" s="89"/>
      <c r="K17" s="89"/>
      <c r="L17" s="98"/>
      <c r="M17" s="129"/>
    </row>
    <row r="18" spans="1:16" ht="12" customHeight="1">
      <c r="A18" s="129"/>
      <c r="B18" s="73"/>
      <c r="C18" s="29"/>
      <c r="D18" s="29"/>
      <c r="E18" s="226"/>
      <c r="F18" s="189"/>
      <c r="G18" s="101">
        <f>(E18*F18)</f>
        <v>0</v>
      </c>
      <c r="H18" s="189">
        <v>1.08</v>
      </c>
      <c r="I18" s="89">
        <f>(G18*H18)</f>
        <v>0</v>
      </c>
      <c r="J18" s="89"/>
      <c r="K18" s="91" t="s">
        <v>107</v>
      </c>
      <c r="L18" s="92">
        <f>(J21-G21)*$K$7</f>
        <v>0.02080000000000002</v>
      </c>
      <c r="M18" s="129"/>
      <c r="N18" s="281" t="s">
        <v>55</v>
      </c>
      <c r="O18" s="259"/>
      <c r="P18" s="260"/>
    </row>
    <row r="19" spans="1:16" ht="12" customHeight="1" thickBot="1">
      <c r="A19" s="129"/>
      <c r="B19" s="73"/>
      <c r="C19" s="29"/>
      <c r="D19" s="29"/>
      <c r="E19" s="226"/>
      <c r="F19" s="189"/>
      <c r="G19" s="101">
        <f>(E19*F19)</f>
        <v>0</v>
      </c>
      <c r="H19" s="189">
        <v>1.08</v>
      </c>
      <c r="I19" s="89">
        <f>(G19*H19)</f>
        <v>0</v>
      </c>
      <c r="J19" s="89"/>
      <c r="K19" s="91" t="s">
        <v>118</v>
      </c>
      <c r="L19" s="92">
        <f>(L21-J21)*$K$7</f>
        <v>0.02441739130434783</v>
      </c>
      <c r="M19" s="129"/>
      <c r="N19" s="282"/>
      <c r="O19" s="261"/>
      <c r="P19" s="262"/>
    </row>
    <row r="20" spans="1:16" ht="12" customHeight="1">
      <c r="A20" s="129"/>
      <c r="B20" s="74"/>
      <c r="C20" s="30"/>
      <c r="D20" s="30"/>
      <c r="E20" s="226"/>
      <c r="F20" s="190"/>
      <c r="G20" s="101">
        <f>(E20*F20)</f>
        <v>0</v>
      </c>
      <c r="H20" s="191">
        <v>1.08</v>
      </c>
      <c r="I20" s="89">
        <f>(G20*H20)</f>
        <v>0</v>
      </c>
      <c r="J20" s="90"/>
      <c r="K20" s="93" t="s">
        <v>117</v>
      </c>
      <c r="L20" s="95">
        <f>IF(L12&lt;&gt;0,L21/L12,"?")</f>
        <v>0.021336088991550668</v>
      </c>
      <c r="M20" s="129"/>
      <c r="N20" s="282"/>
      <c r="O20" s="261"/>
      <c r="P20" s="262"/>
    </row>
    <row r="21" spans="1:16" ht="13.5" customHeight="1" thickBot="1">
      <c r="A21" s="130"/>
      <c r="B21" s="140" t="s">
        <v>88</v>
      </c>
      <c r="C21" s="141"/>
      <c r="D21" s="141"/>
      <c r="E21" s="141"/>
      <c r="F21" s="141"/>
      <c r="G21" s="160">
        <f>SUM(G17:G20)</f>
        <v>0.013000000000000001</v>
      </c>
      <c r="H21" s="160">
        <f>IF(G21&lt;&gt;0,I21/G21,0)</f>
        <v>1.08</v>
      </c>
      <c r="I21" s="141">
        <f>SUM(I17:I20)</f>
        <v>0.014040000000000002</v>
      </c>
      <c r="J21" s="142">
        <f>SUM(I17:I20)</f>
        <v>0.014040000000000002</v>
      </c>
      <c r="K21" s="193">
        <v>0.08</v>
      </c>
      <c r="L21" s="143">
        <f>J21/(1-K21)</f>
        <v>0.015260869565217394</v>
      </c>
      <c r="M21" s="130"/>
      <c r="N21" s="282"/>
      <c r="O21" s="261"/>
      <c r="P21" s="262"/>
    </row>
    <row r="22" spans="1:16" ht="5.25" customHeight="1" thickBot="1">
      <c r="A22" s="129"/>
      <c r="B22" s="147"/>
      <c r="C22" s="56"/>
      <c r="D22" s="56"/>
      <c r="E22" s="148"/>
      <c r="F22" s="56"/>
      <c r="G22" s="149"/>
      <c r="H22" s="149"/>
      <c r="I22" s="105"/>
      <c r="J22" s="56"/>
      <c r="K22" s="150"/>
      <c r="L22" s="151"/>
      <c r="M22" s="129"/>
      <c r="N22" s="282"/>
      <c r="O22" s="261"/>
      <c r="P22" s="262"/>
    </row>
    <row r="23" spans="1:16" ht="24.75" customHeight="1" thickBot="1">
      <c r="A23" s="129"/>
      <c r="B23" s="24" t="s">
        <v>84</v>
      </c>
      <c r="C23" s="210" t="s">
        <v>63</v>
      </c>
      <c r="D23" s="210" t="s">
        <v>64</v>
      </c>
      <c r="E23" s="211" t="s">
        <v>86</v>
      </c>
      <c r="F23" s="210" t="s">
        <v>76</v>
      </c>
      <c r="G23" s="31" t="s">
        <v>78</v>
      </c>
      <c r="H23" s="217" t="s">
        <v>106</v>
      </c>
      <c r="I23" s="210" t="s">
        <v>104</v>
      </c>
      <c r="J23" s="211" t="s">
        <v>93</v>
      </c>
      <c r="K23" s="161"/>
      <c r="L23" s="163" t="s">
        <v>81</v>
      </c>
      <c r="M23" s="129"/>
      <c r="N23" s="283"/>
      <c r="O23" s="263"/>
      <c r="P23" s="264"/>
    </row>
    <row r="24" spans="1:16" ht="12" customHeight="1">
      <c r="A24" s="129"/>
      <c r="B24" s="73"/>
      <c r="C24" s="29"/>
      <c r="D24" s="29"/>
      <c r="E24" s="226"/>
      <c r="F24" s="189"/>
      <c r="G24" s="101">
        <f>(E24*F24)</f>
        <v>0</v>
      </c>
      <c r="H24" s="189">
        <v>1.08</v>
      </c>
      <c r="I24" s="89">
        <f>(G24*H24)</f>
        <v>0</v>
      </c>
      <c r="J24" s="89"/>
      <c r="K24" s="91"/>
      <c r="L24" s="92"/>
      <c r="M24" s="129"/>
      <c r="N24" s="38"/>
      <c r="O24" s="38"/>
      <c r="P24" s="38"/>
    </row>
    <row r="25" spans="1:16" ht="12" customHeight="1">
      <c r="A25" s="129"/>
      <c r="B25" s="73"/>
      <c r="C25" s="29"/>
      <c r="D25" s="29"/>
      <c r="E25" s="226"/>
      <c r="F25" s="189"/>
      <c r="G25" s="101">
        <f>(E25*F25)</f>
        <v>0</v>
      </c>
      <c r="H25" s="189">
        <v>1.08</v>
      </c>
      <c r="I25" s="89">
        <f>(G25*H25)</f>
        <v>0</v>
      </c>
      <c r="J25" s="89"/>
      <c r="K25" s="91" t="s">
        <v>107</v>
      </c>
      <c r="L25" s="92">
        <f>(J28-G28)*$K$7</f>
        <v>0</v>
      </c>
      <c r="M25" s="129"/>
      <c r="N25" s="38"/>
      <c r="O25" s="38"/>
      <c r="P25" s="38"/>
    </row>
    <row r="26" spans="1:16" ht="12" customHeight="1" thickBot="1">
      <c r="A26" s="129"/>
      <c r="B26" s="73"/>
      <c r="C26" s="29"/>
      <c r="D26" s="29"/>
      <c r="E26" s="226"/>
      <c r="F26" s="189"/>
      <c r="G26" s="101">
        <f>(E26*F26)</f>
        <v>0</v>
      </c>
      <c r="H26" s="189">
        <v>1.08</v>
      </c>
      <c r="I26" s="89">
        <f>(G26*H26)</f>
        <v>0</v>
      </c>
      <c r="J26" s="89"/>
      <c r="K26" s="91" t="s">
        <v>118</v>
      </c>
      <c r="L26" s="92">
        <f>(L28-J28)*$K$7</f>
        <v>0</v>
      </c>
      <c r="M26" s="129"/>
      <c r="N26" s="38"/>
      <c r="O26" s="38"/>
      <c r="P26" s="38"/>
    </row>
    <row r="27" spans="1:16" ht="12" customHeight="1">
      <c r="A27" s="129"/>
      <c r="B27" s="73"/>
      <c r="C27" s="29"/>
      <c r="D27" s="29"/>
      <c r="E27" s="226"/>
      <c r="F27" s="189"/>
      <c r="G27" s="101">
        <f>(E27*F27)</f>
        <v>0</v>
      </c>
      <c r="H27" s="189">
        <v>1.08</v>
      </c>
      <c r="I27" s="89">
        <f>(G27*H27)</f>
        <v>0</v>
      </c>
      <c r="J27" s="90"/>
      <c r="K27" s="93" t="s">
        <v>117</v>
      </c>
      <c r="L27" s="99">
        <f>IF(L12&lt;&gt;0,L28/L12,"?")</f>
        <v>0</v>
      </c>
      <c r="M27" s="129"/>
      <c r="N27" s="38"/>
      <c r="O27" s="38"/>
      <c r="P27" s="38"/>
    </row>
    <row r="28" spans="1:13" ht="13.5" customHeight="1" thickBot="1">
      <c r="A28" s="130"/>
      <c r="B28" s="140" t="s">
        <v>120</v>
      </c>
      <c r="C28" s="141"/>
      <c r="D28" s="141"/>
      <c r="E28" s="141"/>
      <c r="F28" s="141"/>
      <c r="G28" s="160">
        <f>SUM(G24:G27)</f>
        <v>0</v>
      </c>
      <c r="H28" s="160">
        <f>IF(G28&lt;&gt;0,I28/G28,0)</f>
        <v>0</v>
      </c>
      <c r="I28" s="141">
        <f>SUM(I24:I27)</f>
        <v>0</v>
      </c>
      <c r="J28" s="142">
        <f>SUM(I24:I27)</f>
        <v>0</v>
      </c>
      <c r="K28" s="193">
        <v>0.08</v>
      </c>
      <c r="L28" s="143">
        <f>J28/(1-K28)</f>
        <v>0</v>
      </c>
      <c r="M28" s="130"/>
    </row>
    <row r="29" spans="1:13" ht="5.25" customHeight="1" thickBot="1">
      <c r="A29" s="129"/>
      <c r="B29" s="17"/>
      <c r="C29" s="56"/>
      <c r="D29" s="56"/>
      <c r="E29" s="148"/>
      <c r="F29" s="56"/>
      <c r="G29" s="149"/>
      <c r="H29" s="152"/>
      <c r="I29" s="58"/>
      <c r="J29" s="56"/>
      <c r="K29" s="150"/>
      <c r="L29" s="153"/>
      <c r="M29" s="129"/>
    </row>
    <row r="30" spans="1:13" ht="24.75" customHeight="1">
      <c r="A30" s="129"/>
      <c r="B30" s="24" t="s">
        <v>83</v>
      </c>
      <c r="C30" s="210" t="s">
        <v>77</v>
      </c>
      <c r="D30" s="210" t="s">
        <v>26</v>
      </c>
      <c r="E30" s="211" t="s">
        <v>121</v>
      </c>
      <c r="F30" s="210" t="s">
        <v>25</v>
      </c>
      <c r="G30" s="31" t="s">
        <v>78</v>
      </c>
      <c r="H30" s="217" t="s">
        <v>106</v>
      </c>
      <c r="I30" s="210" t="s">
        <v>76</v>
      </c>
      <c r="J30" s="211" t="s">
        <v>93</v>
      </c>
      <c r="K30" s="34" t="s">
        <v>102</v>
      </c>
      <c r="L30" s="35" t="s">
        <v>81</v>
      </c>
      <c r="M30" s="129"/>
    </row>
    <row r="31" spans="1:13" ht="12" customHeight="1">
      <c r="A31" s="129"/>
      <c r="B31" s="73" t="s">
        <v>136</v>
      </c>
      <c r="C31" s="226">
        <v>1</v>
      </c>
      <c r="D31" s="189">
        <v>0.5</v>
      </c>
      <c r="E31" s="96">
        <f aca="true" t="shared" si="0" ref="E31:E44">C31*D31</f>
        <v>0.5</v>
      </c>
      <c r="F31" s="189">
        <v>28</v>
      </c>
      <c r="G31" s="101">
        <f aca="true" t="shared" si="1" ref="G31:G44">E31/60*F31</f>
        <v>0.23333333333333334</v>
      </c>
      <c r="H31" s="189">
        <v>1</v>
      </c>
      <c r="I31" s="89">
        <f aca="true" t="shared" si="2" ref="I31:I44">(G31*H31)</f>
        <v>0.23333333333333334</v>
      </c>
      <c r="J31" s="89"/>
      <c r="K31" s="97"/>
      <c r="L31" s="98"/>
      <c r="M31" s="129"/>
    </row>
    <row r="32" spans="1:13" ht="12" customHeight="1">
      <c r="A32" s="129"/>
      <c r="B32" s="73" t="s">
        <v>149</v>
      </c>
      <c r="C32" s="226">
        <v>1</v>
      </c>
      <c r="D32" s="189">
        <f>5/K7</f>
        <v>0.25</v>
      </c>
      <c r="E32" s="96">
        <f t="shared" si="0"/>
        <v>0.25</v>
      </c>
      <c r="F32" s="189">
        <v>28</v>
      </c>
      <c r="G32" s="101">
        <f>E32/60*F32</f>
        <v>0.11666666666666667</v>
      </c>
      <c r="H32" s="189">
        <v>1</v>
      </c>
      <c r="I32" s="89">
        <f t="shared" si="2"/>
        <v>0.11666666666666667</v>
      </c>
      <c r="J32" s="89"/>
      <c r="K32" s="97"/>
      <c r="L32" s="98"/>
      <c r="M32" s="129"/>
    </row>
    <row r="33" spans="1:13" ht="12" customHeight="1">
      <c r="A33" s="129"/>
      <c r="B33" s="73"/>
      <c r="C33" s="226"/>
      <c r="D33" s="189"/>
      <c r="E33" s="96">
        <f t="shared" si="0"/>
        <v>0</v>
      </c>
      <c r="F33" s="189"/>
      <c r="G33" s="101">
        <f t="shared" si="1"/>
        <v>0</v>
      </c>
      <c r="H33" s="189">
        <v>1</v>
      </c>
      <c r="I33" s="89">
        <f t="shared" si="2"/>
        <v>0</v>
      </c>
      <c r="J33" s="89"/>
      <c r="K33" s="97"/>
      <c r="L33" s="98"/>
      <c r="M33" s="129"/>
    </row>
    <row r="34" spans="1:13" ht="12" customHeight="1">
      <c r="A34" s="129"/>
      <c r="B34" s="73"/>
      <c r="C34" s="226"/>
      <c r="D34" s="189"/>
      <c r="E34" s="96">
        <f t="shared" si="0"/>
        <v>0</v>
      </c>
      <c r="F34" s="189"/>
      <c r="G34" s="101">
        <f t="shared" si="1"/>
        <v>0</v>
      </c>
      <c r="H34" s="189">
        <v>1</v>
      </c>
      <c r="I34" s="89">
        <f t="shared" si="2"/>
        <v>0</v>
      </c>
      <c r="J34" s="89"/>
      <c r="K34" s="97"/>
      <c r="L34" s="98"/>
      <c r="M34" s="129"/>
    </row>
    <row r="35" spans="1:13" ht="12" customHeight="1">
      <c r="A35" s="129"/>
      <c r="B35" s="75"/>
      <c r="C35" s="226"/>
      <c r="D35" s="189"/>
      <c r="E35" s="96">
        <f t="shared" si="0"/>
        <v>0</v>
      </c>
      <c r="F35" s="189"/>
      <c r="G35" s="101">
        <f t="shared" si="1"/>
        <v>0</v>
      </c>
      <c r="H35" s="189">
        <v>1</v>
      </c>
      <c r="I35" s="89">
        <f t="shared" si="2"/>
        <v>0</v>
      </c>
      <c r="J35" s="89"/>
      <c r="K35" s="97"/>
      <c r="L35" s="98"/>
      <c r="M35" s="129"/>
    </row>
    <row r="36" spans="1:13" ht="12" customHeight="1">
      <c r="A36" s="129"/>
      <c r="B36" s="73"/>
      <c r="C36" s="226"/>
      <c r="D36" s="189"/>
      <c r="E36" s="96">
        <f t="shared" si="0"/>
        <v>0</v>
      </c>
      <c r="F36" s="189"/>
      <c r="G36" s="101">
        <f t="shared" si="1"/>
        <v>0</v>
      </c>
      <c r="H36" s="189">
        <v>1</v>
      </c>
      <c r="I36" s="89">
        <f t="shared" si="2"/>
        <v>0</v>
      </c>
      <c r="J36" s="89"/>
      <c r="K36" s="97"/>
      <c r="L36" s="98"/>
      <c r="M36" s="129"/>
    </row>
    <row r="37" spans="1:13" ht="12" customHeight="1">
      <c r="A37" s="129"/>
      <c r="B37" s="73"/>
      <c r="C37" s="226"/>
      <c r="D37" s="189"/>
      <c r="E37" s="96">
        <f t="shared" si="0"/>
        <v>0</v>
      </c>
      <c r="F37" s="189"/>
      <c r="G37" s="101">
        <f t="shared" si="1"/>
        <v>0</v>
      </c>
      <c r="H37" s="189">
        <v>1</v>
      </c>
      <c r="I37" s="89">
        <f t="shared" si="2"/>
        <v>0</v>
      </c>
      <c r="J37" s="89"/>
      <c r="K37" s="97"/>
      <c r="L37" s="98"/>
      <c r="M37" s="129"/>
    </row>
    <row r="38" spans="1:13" ht="12" customHeight="1">
      <c r="A38" s="129"/>
      <c r="B38" s="73"/>
      <c r="C38" s="226"/>
      <c r="D38" s="189"/>
      <c r="E38" s="96">
        <f t="shared" si="0"/>
        <v>0</v>
      </c>
      <c r="F38" s="189"/>
      <c r="G38" s="101">
        <f t="shared" si="1"/>
        <v>0</v>
      </c>
      <c r="H38" s="189">
        <v>1</v>
      </c>
      <c r="I38" s="89">
        <f t="shared" si="2"/>
        <v>0</v>
      </c>
      <c r="J38" s="89"/>
      <c r="K38" s="97"/>
      <c r="L38" s="98"/>
      <c r="M38" s="129"/>
    </row>
    <row r="39" spans="1:13" ht="12" customHeight="1">
      <c r="A39" s="129"/>
      <c r="B39" s="73"/>
      <c r="C39" s="226"/>
      <c r="D39" s="189"/>
      <c r="E39" s="96">
        <f t="shared" si="0"/>
        <v>0</v>
      </c>
      <c r="F39" s="189"/>
      <c r="G39" s="101">
        <f t="shared" si="1"/>
        <v>0</v>
      </c>
      <c r="H39" s="189">
        <v>1</v>
      </c>
      <c r="I39" s="89">
        <f t="shared" si="2"/>
        <v>0</v>
      </c>
      <c r="J39" s="89"/>
      <c r="K39" s="97"/>
      <c r="L39" s="98"/>
      <c r="M39" s="129"/>
    </row>
    <row r="40" spans="1:13" ht="12" customHeight="1">
      <c r="A40" s="129"/>
      <c r="B40" s="73"/>
      <c r="C40" s="226"/>
      <c r="D40" s="189"/>
      <c r="E40" s="96">
        <f t="shared" si="0"/>
        <v>0</v>
      </c>
      <c r="F40" s="189"/>
      <c r="G40" s="101">
        <f t="shared" si="1"/>
        <v>0</v>
      </c>
      <c r="H40" s="189">
        <v>1</v>
      </c>
      <c r="I40" s="89">
        <f t="shared" si="2"/>
        <v>0</v>
      </c>
      <c r="J40" s="89"/>
      <c r="K40" s="97"/>
      <c r="L40" s="98"/>
      <c r="M40" s="129"/>
    </row>
    <row r="41" spans="1:13" ht="12" customHeight="1">
      <c r="A41" s="129"/>
      <c r="B41" s="73"/>
      <c r="C41" s="226"/>
      <c r="D41" s="189"/>
      <c r="E41" s="96">
        <f t="shared" si="0"/>
        <v>0</v>
      </c>
      <c r="F41" s="189"/>
      <c r="G41" s="101">
        <f t="shared" si="1"/>
        <v>0</v>
      </c>
      <c r="H41" s="189">
        <v>1</v>
      </c>
      <c r="I41" s="89">
        <f t="shared" si="2"/>
        <v>0</v>
      </c>
      <c r="J41" s="89"/>
      <c r="K41" s="97"/>
      <c r="L41" s="98"/>
      <c r="M41" s="129"/>
    </row>
    <row r="42" spans="1:13" ht="12" customHeight="1">
      <c r="A42" s="129"/>
      <c r="B42" s="73"/>
      <c r="C42" s="226"/>
      <c r="D42" s="189"/>
      <c r="E42" s="96">
        <f t="shared" si="0"/>
        <v>0</v>
      </c>
      <c r="F42" s="189"/>
      <c r="G42" s="101">
        <f t="shared" si="1"/>
        <v>0</v>
      </c>
      <c r="H42" s="189">
        <v>1</v>
      </c>
      <c r="I42" s="89">
        <f t="shared" si="2"/>
        <v>0</v>
      </c>
      <c r="J42" s="89"/>
      <c r="K42" s="91" t="s">
        <v>107</v>
      </c>
      <c r="L42" s="92">
        <f>(J45-G45)*$K$7</f>
        <v>0</v>
      </c>
      <c r="M42" s="129"/>
    </row>
    <row r="43" spans="1:13" ht="12" customHeight="1" thickBot="1">
      <c r="A43" s="129"/>
      <c r="B43" s="73"/>
      <c r="C43" s="226"/>
      <c r="D43" s="189"/>
      <c r="E43" s="96">
        <f t="shared" si="0"/>
        <v>0</v>
      </c>
      <c r="F43" s="189"/>
      <c r="G43" s="101">
        <f t="shared" si="1"/>
        <v>0</v>
      </c>
      <c r="H43" s="189">
        <v>1</v>
      </c>
      <c r="I43" s="89">
        <f t="shared" si="2"/>
        <v>0</v>
      </c>
      <c r="J43" s="89"/>
      <c r="K43" s="91" t="s">
        <v>118</v>
      </c>
      <c r="L43" s="92">
        <f>(L45-J45)*$K$7</f>
        <v>7</v>
      </c>
      <c r="M43" s="129"/>
    </row>
    <row r="44" spans="1:13" ht="12" customHeight="1">
      <c r="A44" s="129"/>
      <c r="B44" s="73"/>
      <c r="C44" s="226"/>
      <c r="D44" s="189"/>
      <c r="E44" s="96">
        <f t="shared" si="0"/>
        <v>0</v>
      </c>
      <c r="F44" s="189"/>
      <c r="G44" s="101">
        <f t="shared" si="1"/>
        <v>0</v>
      </c>
      <c r="H44" s="189">
        <v>1</v>
      </c>
      <c r="I44" s="89">
        <f t="shared" si="2"/>
        <v>0</v>
      </c>
      <c r="J44" s="90"/>
      <c r="K44" s="93" t="s">
        <v>117</v>
      </c>
      <c r="L44" s="99">
        <f>IF(L12&lt;&gt;0,L45/L12,"?")</f>
        <v>0.9786639110084493</v>
      </c>
      <c r="M44" s="129"/>
    </row>
    <row r="45" spans="1:13" ht="13.5" customHeight="1" thickBot="1">
      <c r="A45" s="130"/>
      <c r="B45" s="144" t="s">
        <v>113</v>
      </c>
      <c r="C45" s="141"/>
      <c r="D45" s="141"/>
      <c r="E45" s="159">
        <f>SUM(E31:E44)</f>
        <v>0.75</v>
      </c>
      <c r="F45" s="160">
        <f>IF(E45&lt;&gt;0,(G45/E45)*60,0)</f>
        <v>27.999999999999996</v>
      </c>
      <c r="G45" s="141">
        <f>SUM(G31:G44)</f>
        <v>0.35</v>
      </c>
      <c r="H45" s="160">
        <f>IF(G45&lt;&gt;0,I45/G45,0)</f>
        <v>1</v>
      </c>
      <c r="I45" s="141">
        <f>SUM(I31:I44)</f>
        <v>0.35</v>
      </c>
      <c r="J45" s="142">
        <f>SUM(I31:I44)</f>
        <v>0.35</v>
      </c>
      <c r="K45" s="193">
        <v>0.5</v>
      </c>
      <c r="L45" s="143">
        <f>J45/(1-K45)</f>
        <v>0.7</v>
      </c>
      <c r="M45" s="130"/>
    </row>
    <row r="46" spans="1:13" ht="5.25" customHeight="1" thickBot="1">
      <c r="A46" s="129"/>
      <c r="B46" s="154"/>
      <c r="C46" s="56"/>
      <c r="D46" s="155"/>
      <c r="E46" s="56"/>
      <c r="F46" s="156"/>
      <c r="G46" s="156"/>
      <c r="H46" s="58"/>
      <c r="I46" s="149"/>
      <c r="J46" s="56"/>
      <c r="K46" s="157"/>
      <c r="L46" s="153"/>
      <c r="M46" s="129"/>
    </row>
    <row r="47" spans="1:14" ht="23.25" customHeight="1" hidden="1">
      <c r="A47" s="131" t="s">
        <v>48</v>
      </c>
      <c r="B47" s="20" t="s">
        <v>38</v>
      </c>
      <c r="C47" s="32" t="s">
        <v>27</v>
      </c>
      <c r="D47" s="46" t="s">
        <v>43</v>
      </c>
      <c r="E47" s="46" t="s">
        <v>44</v>
      </c>
      <c r="F47" s="39" t="s">
        <v>24</v>
      </c>
      <c r="G47" s="31" t="s">
        <v>36</v>
      </c>
      <c r="H47" s="32" t="s">
        <v>53</v>
      </c>
      <c r="I47" s="39" t="s">
        <v>28</v>
      </c>
      <c r="J47" s="32" t="s">
        <v>52</v>
      </c>
      <c r="K47" s="40" t="s">
        <v>29</v>
      </c>
      <c r="L47" s="41" t="s">
        <v>51</v>
      </c>
      <c r="M47" s="131" t="s">
        <v>48</v>
      </c>
      <c r="N47" s="87"/>
    </row>
    <row r="48" spans="1:14" ht="10.5" customHeight="1" hidden="1">
      <c r="A48" s="131"/>
      <c r="B48" s="73"/>
      <c r="C48" s="45"/>
      <c r="D48" s="47">
        <f>$I$7/$L$7</f>
        <v>2</v>
      </c>
      <c r="E48" s="47">
        <f>C48*D48</f>
        <v>0</v>
      </c>
      <c r="F48" s="36">
        <f>E48/$I$7</f>
        <v>0</v>
      </c>
      <c r="G48" s="36">
        <f>F48</f>
        <v>0</v>
      </c>
      <c r="H48" s="29">
        <v>1</v>
      </c>
      <c r="I48" s="25">
        <f>(G48*H48)</f>
        <v>0</v>
      </c>
      <c r="J48" s="25"/>
      <c r="K48" s="37"/>
      <c r="L48" s="60"/>
      <c r="M48" s="131"/>
      <c r="N48" s="87"/>
    </row>
    <row r="49" spans="1:14" ht="10.5" customHeight="1" hidden="1">
      <c r="A49" s="131"/>
      <c r="B49" s="73"/>
      <c r="C49" s="45"/>
      <c r="D49" s="47">
        <f>$I$7/$L$7</f>
        <v>2</v>
      </c>
      <c r="E49" s="47">
        <f>C49*D49</f>
        <v>0</v>
      </c>
      <c r="F49" s="36">
        <f>E49/$I$7</f>
        <v>0</v>
      </c>
      <c r="G49" s="36">
        <f>F49</f>
        <v>0</v>
      </c>
      <c r="H49" s="29">
        <v>1</v>
      </c>
      <c r="I49" s="25">
        <f>(G49*H49)</f>
        <v>0</v>
      </c>
      <c r="J49" s="25"/>
      <c r="K49" s="37"/>
      <c r="L49" s="60"/>
      <c r="M49" s="131"/>
      <c r="N49" s="87"/>
    </row>
    <row r="50" spans="1:14" ht="10.5" customHeight="1" hidden="1">
      <c r="A50" s="131"/>
      <c r="B50" s="73" t="s">
        <v>41</v>
      </c>
      <c r="C50" s="45">
        <v>0</v>
      </c>
      <c r="D50" s="47">
        <f>$I$7/$L$7</f>
        <v>2</v>
      </c>
      <c r="E50" s="49">
        <f>C50*D50</f>
        <v>0</v>
      </c>
      <c r="F50" s="36">
        <f>E50/$I$7</f>
        <v>0</v>
      </c>
      <c r="G50" s="36">
        <f>F50</f>
        <v>0</v>
      </c>
      <c r="H50" s="29">
        <v>1</v>
      </c>
      <c r="I50" s="25">
        <f>(G50*H50)</f>
        <v>0</v>
      </c>
      <c r="J50" s="25"/>
      <c r="K50" s="37" t="s">
        <v>37</v>
      </c>
      <c r="L50" s="60">
        <f>(J53-G53)*$K$7</f>
        <v>0</v>
      </c>
      <c r="M50" s="131"/>
      <c r="N50" s="87"/>
    </row>
    <row r="51" spans="1:14" ht="10.5" customHeight="1" hidden="1">
      <c r="A51" s="131"/>
      <c r="B51" s="73" t="s">
        <v>42</v>
      </c>
      <c r="C51" s="45">
        <v>0</v>
      </c>
      <c r="D51" s="47">
        <f>$I$7/$L$7</f>
        <v>2</v>
      </c>
      <c r="E51" s="47">
        <f>C51*D51</f>
        <v>0</v>
      </c>
      <c r="F51" s="36">
        <f>E51/$I$7</f>
        <v>0</v>
      </c>
      <c r="G51" s="36">
        <f>F51</f>
        <v>0</v>
      </c>
      <c r="H51" s="29">
        <v>1</v>
      </c>
      <c r="I51" s="25">
        <f>(G51*H51)</f>
        <v>0</v>
      </c>
      <c r="J51" s="25"/>
      <c r="K51" s="37" t="s">
        <v>46</v>
      </c>
      <c r="L51" s="60">
        <f>(L53-J53)*$K$7</f>
        <v>0</v>
      </c>
      <c r="M51" s="131"/>
      <c r="N51" s="87"/>
    </row>
    <row r="52" spans="1:14" ht="10.5" customHeight="1" hidden="1">
      <c r="A52" s="131"/>
      <c r="B52" s="73" t="s">
        <v>45</v>
      </c>
      <c r="C52" s="45">
        <v>0</v>
      </c>
      <c r="D52" s="47">
        <f>$I$7/$L$7</f>
        <v>2</v>
      </c>
      <c r="E52" s="47">
        <f>C52*D52</f>
        <v>0</v>
      </c>
      <c r="F52" s="36">
        <f>E52/$I$7</f>
        <v>0</v>
      </c>
      <c r="G52" s="36">
        <f>F52</f>
        <v>0</v>
      </c>
      <c r="H52" s="29">
        <v>1</v>
      </c>
      <c r="I52" s="25">
        <f>(G52*H52)</f>
        <v>0</v>
      </c>
      <c r="J52" s="42"/>
      <c r="K52" s="43" t="s">
        <v>29</v>
      </c>
      <c r="L52" s="61">
        <f>IF(L12&lt;&gt;0,L53/L12,"?")</f>
        <v>0</v>
      </c>
      <c r="M52" s="131"/>
      <c r="N52" s="87"/>
    </row>
    <row r="53" spans="1:14" ht="10.5" customHeight="1" hidden="1">
      <c r="A53" s="132" t="s">
        <v>49</v>
      </c>
      <c r="B53" s="76" t="s">
        <v>47</v>
      </c>
      <c r="C53" s="84"/>
      <c r="D53" s="84"/>
      <c r="E53" s="86"/>
      <c r="F53" s="84"/>
      <c r="G53" s="84">
        <f>SUM(G48:G52)</f>
        <v>0</v>
      </c>
      <c r="H53" s="84" t="str">
        <f>IF(G53&lt;&gt;0,I53/G53,"?")</f>
        <v>?</v>
      </c>
      <c r="I53" s="84">
        <f>SUM(I48:I52)</f>
        <v>0</v>
      </c>
      <c r="J53" s="85">
        <f>SUM(I50:I52)</f>
        <v>0</v>
      </c>
      <c r="K53" s="44">
        <v>0.25</v>
      </c>
      <c r="L53" s="62">
        <f>J53/(1-K53)</f>
        <v>0</v>
      </c>
      <c r="M53" s="132" t="s">
        <v>49</v>
      </c>
      <c r="N53" s="87"/>
    </row>
    <row r="54" spans="1:14" ht="5.25" customHeight="1" hidden="1">
      <c r="A54" s="131"/>
      <c r="B54" s="63"/>
      <c r="C54" s="64"/>
      <c r="D54" s="65"/>
      <c r="E54" s="66"/>
      <c r="F54" s="67"/>
      <c r="G54" s="67"/>
      <c r="H54" s="68"/>
      <c r="I54" s="16"/>
      <c r="J54" s="64"/>
      <c r="K54" s="69"/>
      <c r="L54" s="70"/>
      <c r="M54" s="131"/>
      <c r="N54" s="87"/>
    </row>
    <row r="55" spans="1:13" ht="24.75" customHeight="1">
      <c r="A55" s="129"/>
      <c r="B55" s="20" t="s">
        <v>129</v>
      </c>
      <c r="C55" s="210" t="s">
        <v>27</v>
      </c>
      <c r="D55" s="5"/>
      <c r="E55" s="214" t="s">
        <v>105</v>
      </c>
      <c r="F55" s="209" t="s">
        <v>76</v>
      </c>
      <c r="G55" s="31" t="s">
        <v>78</v>
      </c>
      <c r="H55" s="217" t="s">
        <v>106</v>
      </c>
      <c r="I55" s="209" t="s">
        <v>104</v>
      </c>
      <c r="J55" s="210" t="s">
        <v>93</v>
      </c>
      <c r="K55" s="34" t="s">
        <v>102</v>
      </c>
      <c r="L55" s="41" t="s">
        <v>81</v>
      </c>
      <c r="M55" s="129"/>
    </row>
    <row r="56" spans="1:13" ht="12" customHeight="1">
      <c r="A56" s="129"/>
      <c r="B56" s="73"/>
      <c r="C56" s="194"/>
      <c r="D56" s="89"/>
      <c r="E56" s="100">
        <f>$I$7</f>
        <v>40</v>
      </c>
      <c r="F56" s="101">
        <f>C56/E56</f>
        <v>0</v>
      </c>
      <c r="G56" s="101">
        <f>F56</f>
        <v>0</v>
      </c>
      <c r="H56" s="189">
        <v>1</v>
      </c>
      <c r="I56" s="89">
        <f>(G56*H56)</f>
        <v>0</v>
      </c>
      <c r="J56" s="89"/>
      <c r="K56" s="91"/>
      <c r="L56" s="92"/>
      <c r="M56" s="129"/>
    </row>
    <row r="57" spans="1:13" ht="12" customHeight="1">
      <c r="A57" s="129"/>
      <c r="B57" s="73" t="s">
        <v>126</v>
      </c>
      <c r="C57" s="194"/>
      <c r="D57" s="89"/>
      <c r="E57" s="100">
        <f>$I$7</f>
        <v>40</v>
      </c>
      <c r="F57" s="101">
        <f>C57/E57</f>
        <v>0</v>
      </c>
      <c r="G57" s="101">
        <f>F57</f>
        <v>0</v>
      </c>
      <c r="H57" s="189">
        <v>1</v>
      </c>
      <c r="I57" s="89">
        <f>(G57*H57)</f>
        <v>0</v>
      </c>
      <c r="J57" s="89"/>
      <c r="K57" s="91"/>
      <c r="L57" s="92"/>
      <c r="M57" s="129"/>
    </row>
    <row r="58" spans="1:13" ht="12" customHeight="1">
      <c r="A58" s="129"/>
      <c r="B58" s="73" t="s">
        <v>122</v>
      </c>
      <c r="C58" s="194"/>
      <c r="D58" s="89"/>
      <c r="E58" s="100">
        <f>$I$7</f>
        <v>40</v>
      </c>
      <c r="F58" s="101">
        <f>C58/E58</f>
        <v>0</v>
      </c>
      <c r="G58" s="101">
        <f>F58</f>
        <v>0</v>
      </c>
      <c r="H58" s="189">
        <v>1</v>
      </c>
      <c r="I58" s="89">
        <f>(G58*H58)</f>
        <v>0</v>
      </c>
      <c r="J58" s="89"/>
      <c r="K58" s="91" t="s">
        <v>107</v>
      </c>
      <c r="L58" s="92">
        <f>(J61-G61)*$K$7</f>
        <v>0</v>
      </c>
      <c r="M58" s="129"/>
    </row>
    <row r="59" spans="1:13" ht="12" customHeight="1" thickBot="1">
      <c r="A59" s="129"/>
      <c r="B59" s="73" t="s">
        <v>119</v>
      </c>
      <c r="C59" s="194"/>
      <c r="D59" s="89"/>
      <c r="E59" s="100">
        <f>$I$7</f>
        <v>40</v>
      </c>
      <c r="F59" s="101">
        <f>C59/E59</f>
        <v>0</v>
      </c>
      <c r="G59" s="101">
        <f>F59</f>
        <v>0</v>
      </c>
      <c r="H59" s="189">
        <v>1</v>
      </c>
      <c r="I59" s="89">
        <f>(G59*H59)</f>
        <v>0</v>
      </c>
      <c r="J59" s="89"/>
      <c r="K59" s="91" t="s">
        <v>115</v>
      </c>
      <c r="L59" s="92">
        <f>(L61-J61)*$K$7</f>
        <v>0</v>
      </c>
      <c r="M59" s="129"/>
    </row>
    <row r="60" spans="1:13" ht="12" customHeight="1">
      <c r="A60" s="129"/>
      <c r="B60" s="73" t="s">
        <v>128</v>
      </c>
      <c r="C60" s="194"/>
      <c r="D60" s="89"/>
      <c r="E60" s="100">
        <f>$I$7</f>
        <v>40</v>
      </c>
      <c r="F60" s="101">
        <f>C60/E60</f>
        <v>0</v>
      </c>
      <c r="G60" s="101">
        <f>F60</f>
        <v>0</v>
      </c>
      <c r="H60" s="189">
        <v>1</v>
      </c>
      <c r="I60" s="89">
        <f>(G60*H60)</f>
        <v>0</v>
      </c>
      <c r="J60" s="90"/>
      <c r="K60" s="93" t="s">
        <v>117</v>
      </c>
      <c r="L60" s="99">
        <f>IF(L12&lt;&gt;0,L61/L12,"?")</f>
        <v>0</v>
      </c>
      <c r="M60" s="129"/>
    </row>
    <row r="61" spans="1:13" ht="13.5" customHeight="1" thickBot="1">
      <c r="A61" s="130"/>
      <c r="B61" s="114" t="s">
        <v>132</v>
      </c>
      <c r="C61" s="115"/>
      <c r="D61" s="115"/>
      <c r="E61" s="116"/>
      <c r="F61" s="115"/>
      <c r="G61" s="117">
        <f>SUM(G56:G60)</f>
        <v>0</v>
      </c>
      <c r="H61" s="117">
        <f>IF(G61&lt;&gt;0,I61/G61,0)</f>
        <v>0</v>
      </c>
      <c r="I61" s="115">
        <f>SUM(I56:I60)</f>
        <v>0</v>
      </c>
      <c r="J61" s="118">
        <f>SUM(I56:I60)</f>
        <v>0</v>
      </c>
      <c r="K61" s="192">
        <v>0.25</v>
      </c>
      <c r="L61" s="119">
        <f>J61/(1-K61)</f>
        <v>0</v>
      </c>
      <c r="M61" s="130"/>
    </row>
    <row r="62" spans="1:13" ht="5.25" customHeight="1" thickBot="1">
      <c r="A62" s="138"/>
      <c r="B62" s="133"/>
      <c r="C62" s="134"/>
      <c r="D62" s="134"/>
      <c r="E62" s="134"/>
      <c r="F62" s="134"/>
      <c r="G62" s="134"/>
      <c r="H62" s="134"/>
      <c r="I62" s="134"/>
      <c r="J62" s="135"/>
      <c r="K62" s="134"/>
      <c r="L62" s="136"/>
      <c r="M62" s="138"/>
    </row>
    <row r="63" spans="1:13" ht="12.75">
      <c r="A63" s="7"/>
      <c r="B63" s="13"/>
      <c r="C63" s="3"/>
      <c r="D63" s="3"/>
      <c r="E63" s="3"/>
      <c r="F63" s="50"/>
      <c r="G63" s="3"/>
      <c r="H63" s="3"/>
      <c r="I63" s="6"/>
      <c r="J63" s="3"/>
      <c r="M63" s="7"/>
    </row>
    <row r="64" spans="1:13" ht="12.75">
      <c r="A64" s="8"/>
      <c r="B64" s="26"/>
      <c r="C64" s="26"/>
      <c r="D64" s="26"/>
      <c r="E64" s="26"/>
      <c r="F64" s="26"/>
      <c r="G64" s="26"/>
      <c r="H64" s="4"/>
      <c r="I64" s="4"/>
      <c r="J64" s="6"/>
      <c r="K64" s="4"/>
      <c r="L64" s="53"/>
      <c r="M64" s="8"/>
    </row>
    <row r="65" spans="1:13" ht="12.75">
      <c r="A65" s="8"/>
      <c r="B65" s="7"/>
      <c r="C65" s="7"/>
      <c r="D65" s="7"/>
      <c r="E65" s="7"/>
      <c r="F65" s="7"/>
      <c r="G65" s="7"/>
      <c r="H65" s="4"/>
      <c r="I65" s="4"/>
      <c r="J65" s="6"/>
      <c r="K65" s="4"/>
      <c r="L65" s="54"/>
      <c r="M65" s="8"/>
    </row>
    <row r="66" spans="1:13" ht="13.5">
      <c r="A66" s="8"/>
      <c r="B66" s="7"/>
      <c r="C66" s="7"/>
      <c r="D66" s="7"/>
      <c r="E66" s="7"/>
      <c r="F66" s="7"/>
      <c r="G66" s="7"/>
      <c r="H66" s="4"/>
      <c r="I66" s="4"/>
      <c r="J66" s="6"/>
      <c r="K66" s="4"/>
      <c r="L66" s="53"/>
      <c r="M66" s="8"/>
    </row>
    <row r="67" spans="1:13" ht="13.5">
      <c r="A67" s="8"/>
      <c r="B67" s="7"/>
      <c r="C67" s="7"/>
      <c r="D67" s="7"/>
      <c r="E67" s="7"/>
      <c r="F67" s="7"/>
      <c r="G67" s="7"/>
      <c r="H67" s="8"/>
      <c r="I67" s="8"/>
      <c r="J67" s="8"/>
      <c r="K67" s="8"/>
      <c r="L67" s="8"/>
      <c r="M67" s="8"/>
    </row>
    <row r="68" spans="1:13" ht="13.5">
      <c r="A68" s="8"/>
      <c r="B68" s="7"/>
      <c r="C68" s="7"/>
      <c r="D68" s="7"/>
      <c r="E68" s="7"/>
      <c r="F68" s="7"/>
      <c r="G68" s="7"/>
      <c r="H68" s="8"/>
      <c r="I68" s="8"/>
      <c r="J68" s="8"/>
      <c r="K68" s="8"/>
      <c r="L68" s="8"/>
      <c r="M68" s="8"/>
    </row>
    <row r="69" spans="1:13" ht="13.5">
      <c r="A69" s="7"/>
      <c r="B69" s="8"/>
      <c r="C69" s="7"/>
      <c r="D69" s="7"/>
      <c r="E69" s="7"/>
      <c r="F69" s="7"/>
      <c r="G69" s="7"/>
      <c r="H69" s="7"/>
      <c r="I69" s="7"/>
      <c r="J69" s="7"/>
      <c r="K69" s="8"/>
      <c r="L69" s="7"/>
      <c r="M69" s="7"/>
    </row>
    <row r="70" spans="1:13" ht="13.5">
      <c r="A70" s="7"/>
      <c r="B70" s="8"/>
      <c r="C70" s="9"/>
      <c r="D70" s="8"/>
      <c r="E70" s="7"/>
      <c r="F70" s="7"/>
      <c r="G70" s="7"/>
      <c r="H70" s="7"/>
      <c r="I70" s="7"/>
      <c r="J70" s="7"/>
      <c r="K70" s="8"/>
      <c r="L70" s="7"/>
      <c r="M70" s="7"/>
    </row>
    <row r="71" spans="1:13" ht="13.5">
      <c r="A71" s="7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</row>
    <row r="72" spans="1:13" ht="13.5">
      <c r="A72" s="7"/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  <c r="M72" s="7"/>
    </row>
    <row r="73" spans="1:13" ht="13.5">
      <c r="A73" s="7"/>
      <c r="B73" s="7"/>
      <c r="C73" s="7"/>
      <c r="D73" s="7"/>
      <c r="E73" s="7"/>
      <c r="F73" s="7"/>
      <c r="G73" s="7"/>
      <c r="H73" s="8"/>
      <c r="I73" s="8"/>
      <c r="J73" s="7"/>
      <c r="K73" s="7"/>
      <c r="L73" s="7"/>
      <c r="M73" s="7"/>
    </row>
    <row r="74" spans="1:13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3.5">
      <c r="A75" s="7"/>
      <c r="B75" s="1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3.5">
      <c r="A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3.5">
      <c r="A80" s="7"/>
      <c r="B80" s="7"/>
      <c r="C80" s="26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3.5">
      <c r="A84" s="7"/>
      <c r="B84" s="11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3.5">
      <c r="A85" s="7"/>
      <c r="B85" s="7"/>
      <c r="C85" s="12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3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3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3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3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3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3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3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3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3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3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3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3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3.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3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3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3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3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3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3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3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3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3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3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3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3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3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3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3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3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3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3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3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3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3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3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3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</sheetData>
  <sheetProtection/>
  <mergeCells count="16">
    <mergeCell ref="C3:E3"/>
    <mergeCell ref="F3:L3"/>
    <mergeCell ref="F5:L5"/>
    <mergeCell ref="F2:H2"/>
    <mergeCell ref="I2:J2"/>
    <mergeCell ref="K2:L2"/>
    <mergeCell ref="G8:L9"/>
    <mergeCell ref="N18:P23"/>
    <mergeCell ref="B2:B3"/>
    <mergeCell ref="C2:E2"/>
    <mergeCell ref="B6:B7"/>
    <mergeCell ref="G6:H7"/>
    <mergeCell ref="B4:B5"/>
    <mergeCell ref="C4:E4"/>
    <mergeCell ref="F4:L4"/>
    <mergeCell ref="C5:E5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0"/>
  <sheetViews>
    <sheetView zoomScalePageLayoutView="0" workbookViewId="0" topLeftCell="A1">
      <pane xSplit="2" ySplit="15" topLeftCell="C1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O11" sqref="O11"/>
    </sheetView>
  </sheetViews>
  <sheetFormatPr defaultColWidth="9.140625" defaultRowHeight="12.75"/>
  <cols>
    <col min="1" max="1" width="0.71875" style="1" customWidth="1"/>
    <col min="2" max="2" width="28.28125" style="1" customWidth="1"/>
    <col min="3" max="7" width="8.7109375" style="1" customWidth="1"/>
    <col min="8" max="8" width="9.7109375" style="1" customWidth="1"/>
    <col min="9" max="11" width="8.7109375" style="1" customWidth="1"/>
    <col min="12" max="12" width="9.28125" style="1" customWidth="1"/>
    <col min="13" max="13" width="0.71875" style="1" customWidth="1"/>
    <col min="76" max="16384" width="9.140625" style="1" customWidth="1"/>
  </cols>
  <sheetData>
    <row r="1" spans="1:13" ht="5.25" customHeight="1" thickBot="1">
      <c r="A1" s="138"/>
      <c r="B1" s="133"/>
      <c r="C1" s="134"/>
      <c r="D1" s="134"/>
      <c r="E1" s="134"/>
      <c r="F1" s="134"/>
      <c r="G1" s="134"/>
      <c r="H1" s="134"/>
      <c r="I1" s="134"/>
      <c r="J1" s="135"/>
      <c r="K1" s="134"/>
      <c r="L1" s="136"/>
      <c r="M1" s="138"/>
    </row>
    <row r="2" spans="1:14" ht="15" customHeight="1">
      <c r="A2" s="128"/>
      <c r="B2" s="237"/>
      <c r="C2" s="239" t="s">
        <v>114</v>
      </c>
      <c r="D2" s="240"/>
      <c r="E2" s="241"/>
      <c r="F2" s="245" t="str">
        <f>Product!F2</f>
        <v>Kari Kolehmainen</v>
      </c>
      <c r="G2" s="246"/>
      <c r="H2" s="246"/>
      <c r="I2" s="233" t="s">
        <v>73</v>
      </c>
      <c r="J2" s="234"/>
      <c r="K2" s="251" t="str">
        <f>Product!K2</f>
        <v>22.1 2014</v>
      </c>
      <c r="L2" s="252"/>
      <c r="M2" s="128"/>
      <c r="N2" t="s">
        <v>31</v>
      </c>
    </row>
    <row r="3" spans="1:14" ht="15" customHeight="1">
      <c r="A3" s="123"/>
      <c r="B3" s="238"/>
      <c r="C3" s="242" t="s">
        <v>69</v>
      </c>
      <c r="D3" s="243"/>
      <c r="E3" s="244"/>
      <c r="F3" s="253">
        <f>Product!F3</f>
        <v>0</v>
      </c>
      <c r="G3" s="254"/>
      <c r="H3" s="254"/>
      <c r="I3" s="254"/>
      <c r="J3" s="254"/>
      <c r="K3" s="254"/>
      <c r="L3" s="255"/>
      <c r="M3" s="123"/>
      <c r="N3" t="s">
        <v>30</v>
      </c>
    </row>
    <row r="4" spans="1:14" ht="15" customHeight="1">
      <c r="A4" s="129"/>
      <c r="B4" s="265" t="s">
        <v>67</v>
      </c>
      <c r="C4" s="242" t="s">
        <v>70</v>
      </c>
      <c r="D4" s="243"/>
      <c r="E4" s="244"/>
      <c r="F4" s="253" t="s">
        <v>23</v>
      </c>
      <c r="G4" s="254"/>
      <c r="H4" s="254"/>
      <c r="I4" s="254"/>
      <c r="J4" s="254"/>
      <c r="K4" s="254"/>
      <c r="L4" s="255"/>
      <c r="M4" s="129"/>
      <c r="N4" t="s">
        <v>59</v>
      </c>
    </row>
    <row r="5" spans="1:14" ht="15" customHeight="1" thickBot="1">
      <c r="A5" s="129"/>
      <c r="B5" s="265"/>
      <c r="C5" s="266"/>
      <c r="D5" s="267"/>
      <c r="E5" s="268"/>
      <c r="F5" s="274" t="s">
        <v>0</v>
      </c>
      <c r="G5" s="275"/>
      <c r="H5" s="275"/>
      <c r="I5" s="275"/>
      <c r="J5" s="275"/>
      <c r="K5" s="275"/>
      <c r="L5" s="276"/>
      <c r="M5" s="129"/>
      <c r="N5" s="187" t="s">
        <v>58</v>
      </c>
    </row>
    <row r="6" spans="1:14" ht="12.75" customHeight="1">
      <c r="A6" s="129"/>
      <c r="B6" s="273" t="s">
        <v>74</v>
      </c>
      <c r="C6" s="79" t="s">
        <v>71</v>
      </c>
      <c r="D6" s="77"/>
      <c r="E6" s="77"/>
      <c r="F6" s="197" t="s">
        <v>90</v>
      </c>
      <c r="G6" s="277"/>
      <c r="H6" s="278"/>
      <c r="I6" s="174" t="s">
        <v>98</v>
      </c>
      <c r="J6" s="113"/>
      <c r="K6" s="176" t="s">
        <v>99</v>
      </c>
      <c r="L6" s="176" t="s">
        <v>100</v>
      </c>
      <c r="M6" s="129"/>
      <c r="N6" t="s">
        <v>32</v>
      </c>
    </row>
    <row r="7" spans="1:14" ht="12.75" customHeight="1" thickBot="1">
      <c r="A7" s="129"/>
      <c r="B7" s="273"/>
      <c r="C7" s="80"/>
      <c r="D7" s="78"/>
      <c r="E7" s="78"/>
      <c r="F7" s="198" t="s">
        <v>50</v>
      </c>
      <c r="G7" s="279"/>
      <c r="H7" s="280"/>
      <c r="I7" s="185">
        <v>120</v>
      </c>
      <c r="J7" s="177" t="s">
        <v>56</v>
      </c>
      <c r="K7" s="196">
        <v>120</v>
      </c>
      <c r="L7" s="195">
        <v>120</v>
      </c>
      <c r="M7" s="129"/>
      <c r="N7" t="s">
        <v>33</v>
      </c>
    </row>
    <row r="8" spans="1:13" ht="18.75" customHeight="1" thickBot="1">
      <c r="A8" s="129"/>
      <c r="B8" s="27"/>
      <c r="C8" s="14"/>
      <c r="D8" s="55"/>
      <c r="E8" s="82"/>
      <c r="F8" s="48"/>
      <c r="G8" s="269" t="s">
        <v>112</v>
      </c>
      <c r="H8" s="269"/>
      <c r="I8" s="269"/>
      <c r="J8" s="269"/>
      <c r="K8" s="269"/>
      <c r="L8" s="270"/>
      <c r="M8" s="129"/>
    </row>
    <row r="9" spans="1:13" ht="18.75" customHeight="1" thickBot="1">
      <c r="A9" s="129"/>
      <c r="B9" s="15"/>
      <c r="C9" s="63"/>
      <c r="D9" s="72"/>
      <c r="E9" s="215" t="s">
        <v>110</v>
      </c>
      <c r="F9" s="221">
        <v>4</v>
      </c>
      <c r="G9" s="271"/>
      <c r="H9" s="271"/>
      <c r="I9" s="271"/>
      <c r="J9" s="271"/>
      <c r="K9" s="271"/>
      <c r="L9" s="272"/>
      <c r="M9" s="129"/>
    </row>
    <row r="10" spans="1:13" ht="5.25" customHeight="1" thickBot="1">
      <c r="A10" s="129"/>
      <c r="B10" s="124"/>
      <c r="C10" s="125"/>
      <c r="D10" s="121"/>
      <c r="E10" s="125"/>
      <c r="F10" s="121"/>
      <c r="G10" s="121"/>
      <c r="H10" s="125"/>
      <c r="I10" s="121"/>
      <c r="J10" s="125"/>
      <c r="K10" s="126"/>
      <c r="L10" s="127"/>
      <c r="M10" s="129"/>
    </row>
    <row r="11" spans="1:13" ht="24.75" customHeight="1" thickBot="1">
      <c r="A11" s="129"/>
      <c r="B11" s="17" t="s">
        <v>85</v>
      </c>
      <c r="C11" s="18"/>
      <c r="D11" s="19"/>
      <c r="E11" s="213" t="s">
        <v>109</v>
      </c>
      <c r="F11" s="216" t="s">
        <v>89</v>
      </c>
      <c r="G11" s="21" t="s">
        <v>95</v>
      </c>
      <c r="H11" s="213" t="s">
        <v>107</v>
      </c>
      <c r="I11" s="216" t="s">
        <v>118</v>
      </c>
      <c r="J11" s="213" t="s">
        <v>93</v>
      </c>
      <c r="K11" s="22" t="s">
        <v>101</v>
      </c>
      <c r="L11" s="23" t="s">
        <v>81</v>
      </c>
      <c r="M11" s="129"/>
    </row>
    <row r="12" spans="1:13" ht="13.5" thickBot="1">
      <c r="A12" s="130"/>
      <c r="B12" s="14"/>
      <c r="C12" s="2"/>
      <c r="D12" s="3"/>
      <c r="E12" s="102">
        <f>IF($E$45&lt;&gt;0,(60/$E$45*(L12-J12)),0)</f>
        <v>0</v>
      </c>
      <c r="F12" s="103">
        <f>(E45/60)*$I$7</f>
        <v>0</v>
      </c>
      <c r="G12" s="111">
        <f>G21+G28+G45+G53+G61</f>
        <v>1.36</v>
      </c>
      <c r="H12" s="104">
        <f>(J12-G12)*$K$7</f>
        <v>8.736000000000024</v>
      </c>
      <c r="I12" s="104">
        <f>(L12-J12)*$K$7</f>
        <v>9.761025171624729</v>
      </c>
      <c r="J12" s="105">
        <f>SUM(J17:J61)</f>
        <v>1.4328000000000003</v>
      </c>
      <c r="K12" s="106">
        <f>IF(L12&lt;&gt;0,(L12-J12)/L12,0)</f>
        <v>0.053721436343852076</v>
      </c>
      <c r="L12" s="107">
        <f>L21+L28+L45+L53+L61</f>
        <v>1.5141418764302064</v>
      </c>
      <c r="M12" s="130"/>
    </row>
    <row r="13" spans="1:13" ht="13.5" thickBot="1">
      <c r="A13" s="129"/>
      <c r="B13" s="13"/>
      <c r="C13" s="2"/>
      <c r="D13" s="3"/>
      <c r="E13" s="3"/>
      <c r="F13" s="3"/>
      <c r="G13" s="3"/>
      <c r="H13" s="3"/>
      <c r="I13" s="3"/>
      <c r="J13" s="3"/>
      <c r="K13" s="3"/>
      <c r="L13" s="108" t="s">
        <v>94</v>
      </c>
      <c r="M13" s="129"/>
    </row>
    <row r="14" spans="1:13" ht="13.5" thickBot="1">
      <c r="A14" s="129"/>
      <c r="B14" s="15"/>
      <c r="C14" s="71"/>
      <c r="D14" s="16"/>
      <c r="E14" s="102">
        <f>IF($E$45&lt;&gt;0,(60/$E$45*(L14-J12)),0)</f>
        <v>0</v>
      </c>
      <c r="F14" s="56"/>
      <c r="G14" s="112">
        <f>G12</f>
        <v>1.36</v>
      </c>
      <c r="H14" s="57"/>
      <c r="I14" s="104">
        <f>(L14-J12)*$K$7</f>
        <v>9.263999999999966</v>
      </c>
      <c r="J14" s="58"/>
      <c r="K14" s="106">
        <f>IF(L14&lt;&gt;0,(L14-J12)/L14,"?")</f>
        <v>0.05112582781456935</v>
      </c>
      <c r="L14" s="188">
        <v>1.51</v>
      </c>
      <c r="M14" s="129"/>
    </row>
    <row r="15" spans="1:13" ht="5.25" customHeight="1" thickBot="1">
      <c r="A15" s="129"/>
      <c r="B15" s="120"/>
      <c r="C15" s="121"/>
      <c r="D15" s="121"/>
      <c r="E15" s="121"/>
      <c r="F15" s="121"/>
      <c r="G15" s="121"/>
      <c r="H15" s="121"/>
      <c r="I15" s="121"/>
      <c r="J15" s="122"/>
      <c r="K15" s="121"/>
      <c r="L15" s="123"/>
      <c r="M15" s="129"/>
    </row>
    <row r="16" spans="1:13" ht="24.75" customHeight="1">
      <c r="A16" s="129"/>
      <c r="B16" s="24" t="s">
        <v>82</v>
      </c>
      <c r="C16" s="210" t="s">
        <v>63</v>
      </c>
      <c r="D16" s="210" t="s">
        <v>64</v>
      </c>
      <c r="E16" s="211" t="s">
        <v>75</v>
      </c>
      <c r="F16" s="210" t="s">
        <v>76</v>
      </c>
      <c r="G16" s="31" t="s">
        <v>78</v>
      </c>
      <c r="H16" s="217" t="s">
        <v>106</v>
      </c>
      <c r="I16" s="210" t="s">
        <v>87</v>
      </c>
      <c r="J16" s="211" t="s">
        <v>93</v>
      </c>
      <c r="K16" s="161"/>
      <c r="L16" s="163" t="s">
        <v>81</v>
      </c>
      <c r="M16" s="129"/>
    </row>
    <row r="17" spans="1:13" ht="12" customHeight="1" thickBot="1">
      <c r="A17" s="129"/>
      <c r="B17" s="73" t="s">
        <v>1</v>
      </c>
      <c r="C17" s="29">
        <v>0.4</v>
      </c>
      <c r="D17" s="29">
        <v>3</v>
      </c>
      <c r="E17" s="189">
        <v>1</v>
      </c>
      <c r="F17" s="189">
        <f>D17*C17</f>
        <v>1.2000000000000002</v>
      </c>
      <c r="G17" s="101">
        <f>(E17*F17)</f>
        <v>1.2000000000000002</v>
      </c>
      <c r="H17" s="189">
        <v>1.05</v>
      </c>
      <c r="I17" s="89">
        <f>(G17*H17)</f>
        <v>1.2600000000000002</v>
      </c>
      <c r="J17" s="89"/>
      <c r="K17" s="89"/>
      <c r="L17" s="98"/>
      <c r="M17" s="129"/>
    </row>
    <row r="18" spans="1:16" ht="12" customHeight="1">
      <c r="A18" s="129"/>
      <c r="B18" s="73" t="s">
        <v>2</v>
      </c>
      <c r="C18" s="29"/>
      <c r="D18" s="29"/>
      <c r="E18" s="189"/>
      <c r="F18" s="189"/>
      <c r="G18" s="101">
        <f>(E18*F18)</f>
        <v>0</v>
      </c>
      <c r="H18" s="189">
        <v>1.08</v>
      </c>
      <c r="I18" s="89">
        <f>(G18*H18)</f>
        <v>0</v>
      </c>
      <c r="J18" s="89"/>
      <c r="K18" s="91" t="s">
        <v>107</v>
      </c>
      <c r="L18" s="92">
        <f>(J21-G21)*$K$7</f>
        <v>7.200000000000006</v>
      </c>
      <c r="M18" s="129"/>
      <c r="N18" s="259" t="s">
        <v>55</v>
      </c>
      <c r="O18" s="259"/>
      <c r="P18" s="260"/>
    </row>
    <row r="19" spans="1:16" ht="12" customHeight="1" thickBot="1">
      <c r="A19" s="129"/>
      <c r="B19" s="73"/>
      <c r="C19" s="29"/>
      <c r="D19" s="29"/>
      <c r="E19" s="189"/>
      <c r="F19" s="189"/>
      <c r="G19" s="101">
        <f>(E19*F19)</f>
        <v>0</v>
      </c>
      <c r="H19" s="189">
        <v>1.08</v>
      </c>
      <c r="I19" s="89">
        <f>(G19*H19)</f>
        <v>0</v>
      </c>
      <c r="J19" s="89"/>
      <c r="K19" s="91" t="s">
        <v>118</v>
      </c>
      <c r="L19" s="92">
        <f>(L21-J21)*$K$7</f>
        <v>7.957894736842119</v>
      </c>
      <c r="M19" s="129"/>
      <c r="N19" s="261"/>
      <c r="O19" s="261"/>
      <c r="P19" s="262"/>
    </row>
    <row r="20" spans="1:16" ht="12" customHeight="1">
      <c r="A20" s="129"/>
      <c r="B20" s="74"/>
      <c r="C20" s="30"/>
      <c r="D20" s="30"/>
      <c r="E20" s="189"/>
      <c r="F20" s="190"/>
      <c r="G20" s="101">
        <f>(E20*F20)</f>
        <v>0</v>
      </c>
      <c r="H20" s="191">
        <v>1.08</v>
      </c>
      <c r="I20" s="89">
        <f>(G20*H20)</f>
        <v>0</v>
      </c>
      <c r="J20" s="90"/>
      <c r="K20" s="93" t="s">
        <v>117</v>
      </c>
      <c r="L20" s="95">
        <f>IF(L12&lt;&gt;0,L21/L12,"?")</f>
        <v>0.8759521218715995</v>
      </c>
      <c r="M20" s="129"/>
      <c r="N20" s="261"/>
      <c r="O20" s="261"/>
      <c r="P20" s="262"/>
    </row>
    <row r="21" spans="1:16" ht="13.5" customHeight="1" thickBot="1">
      <c r="A21" s="130"/>
      <c r="B21" s="140" t="s">
        <v>88</v>
      </c>
      <c r="C21" s="141"/>
      <c r="D21" s="141"/>
      <c r="E21" s="141"/>
      <c r="F21" s="141"/>
      <c r="G21" s="160">
        <f>SUM(G17:G20)</f>
        <v>1.2000000000000002</v>
      </c>
      <c r="H21" s="160">
        <f>IF(G21&lt;&gt;0,I21/G21,0)</f>
        <v>1.05</v>
      </c>
      <c r="I21" s="141">
        <f>SUM(I17:I20)</f>
        <v>1.2600000000000002</v>
      </c>
      <c r="J21" s="142">
        <f>SUM(I17:I20)</f>
        <v>1.2600000000000002</v>
      </c>
      <c r="K21" s="193">
        <v>0.05</v>
      </c>
      <c r="L21" s="143">
        <f>J21/(1-K21)</f>
        <v>1.3263157894736846</v>
      </c>
      <c r="M21" s="130"/>
      <c r="N21" s="261"/>
      <c r="O21" s="261"/>
      <c r="P21" s="262"/>
    </row>
    <row r="22" spans="1:16" ht="5.25" customHeight="1" thickBot="1">
      <c r="A22" s="129"/>
      <c r="B22" s="147"/>
      <c r="C22" s="56"/>
      <c r="D22" s="56"/>
      <c r="E22" s="148"/>
      <c r="F22" s="56"/>
      <c r="G22" s="149"/>
      <c r="H22" s="149"/>
      <c r="I22" s="105"/>
      <c r="J22" s="56"/>
      <c r="K22" s="150"/>
      <c r="L22" s="151"/>
      <c r="M22" s="129"/>
      <c r="N22" s="261"/>
      <c r="O22" s="261"/>
      <c r="P22" s="262"/>
    </row>
    <row r="23" spans="1:16" ht="22.5" customHeight="1" thickBot="1">
      <c r="A23" s="129"/>
      <c r="B23" s="24" t="s">
        <v>84</v>
      </c>
      <c r="C23" s="210" t="s">
        <v>34</v>
      </c>
      <c r="D23" s="32" t="s">
        <v>35</v>
      </c>
      <c r="E23" s="211" t="s">
        <v>86</v>
      </c>
      <c r="F23" s="210" t="s">
        <v>76</v>
      </c>
      <c r="G23" s="31" t="s">
        <v>78</v>
      </c>
      <c r="H23" s="217" t="s">
        <v>106</v>
      </c>
      <c r="I23" s="32" t="s">
        <v>104</v>
      </c>
      <c r="J23" s="211" t="s">
        <v>93</v>
      </c>
      <c r="K23" s="161"/>
      <c r="L23" s="163" t="s">
        <v>81</v>
      </c>
      <c r="M23" s="129"/>
      <c r="N23" s="263"/>
      <c r="O23" s="263"/>
      <c r="P23" s="264"/>
    </row>
    <row r="24" spans="1:16" ht="12" customHeight="1">
      <c r="A24" s="129"/>
      <c r="B24" s="73" t="s">
        <v>4</v>
      </c>
      <c r="C24" s="29"/>
      <c r="D24" s="29"/>
      <c r="E24" s="189">
        <v>1</v>
      </c>
      <c r="F24" s="189">
        <f>0.4/500*200</f>
        <v>0.16</v>
      </c>
      <c r="G24" s="101">
        <f>(E24*F24)</f>
        <v>0.16</v>
      </c>
      <c r="H24" s="189">
        <v>1.08</v>
      </c>
      <c r="I24" s="89">
        <f>(G24*H24)</f>
        <v>0.1728</v>
      </c>
      <c r="J24" s="89"/>
      <c r="K24" s="91"/>
      <c r="L24" s="92"/>
      <c r="M24" s="129"/>
      <c r="N24" s="38"/>
      <c r="O24" s="38"/>
      <c r="P24" s="38"/>
    </row>
    <row r="25" spans="1:16" ht="12" customHeight="1">
      <c r="A25" s="129"/>
      <c r="B25" s="73"/>
      <c r="C25" s="29"/>
      <c r="D25" s="29"/>
      <c r="E25" s="189"/>
      <c r="F25" s="189"/>
      <c r="G25" s="101">
        <f>(E25*F25)</f>
        <v>0</v>
      </c>
      <c r="H25" s="189">
        <v>1.08</v>
      </c>
      <c r="I25" s="89">
        <f>(G25*H25)</f>
        <v>0</v>
      </c>
      <c r="J25" s="89"/>
      <c r="K25" s="91" t="s">
        <v>107</v>
      </c>
      <c r="L25" s="92">
        <f>(J28-G28)*$K$7</f>
        <v>1.5360000000000007</v>
      </c>
      <c r="M25" s="129"/>
      <c r="N25" s="38"/>
      <c r="O25" s="38"/>
      <c r="P25" s="38"/>
    </row>
    <row r="26" spans="1:16" ht="12" customHeight="1" thickBot="1">
      <c r="A26" s="129"/>
      <c r="B26" s="73"/>
      <c r="C26" s="29"/>
      <c r="D26" s="29"/>
      <c r="E26" s="189"/>
      <c r="F26" s="189"/>
      <c r="G26" s="101">
        <f>(E26*F26)</f>
        <v>0</v>
      </c>
      <c r="H26" s="189">
        <v>1.08</v>
      </c>
      <c r="I26" s="89">
        <f>(G26*H26)</f>
        <v>0</v>
      </c>
      <c r="J26" s="89"/>
      <c r="K26" s="91" t="s">
        <v>118</v>
      </c>
      <c r="L26" s="92">
        <f>(L28-J28)*$K$7</f>
        <v>1.8031304347826094</v>
      </c>
      <c r="M26" s="129"/>
      <c r="N26" s="38"/>
      <c r="O26" s="38"/>
      <c r="P26" s="38"/>
    </row>
    <row r="27" spans="1:16" ht="12" customHeight="1">
      <c r="A27" s="129"/>
      <c r="B27" s="73"/>
      <c r="C27" s="29"/>
      <c r="D27" s="29"/>
      <c r="E27" s="189"/>
      <c r="F27" s="189"/>
      <c r="G27" s="101">
        <f>(E27*F27)</f>
        <v>0</v>
      </c>
      <c r="H27" s="189">
        <v>1.08</v>
      </c>
      <c r="I27" s="89">
        <f>(G27*H27)</f>
        <v>0</v>
      </c>
      <c r="J27" s="90"/>
      <c r="K27" s="93" t="s">
        <v>117</v>
      </c>
      <c r="L27" s="99">
        <f>IF(L12&lt;&gt;0,L28/L12,"?")</f>
        <v>0.12404787812840042</v>
      </c>
      <c r="M27" s="129"/>
      <c r="N27" s="38"/>
      <c r="O27" s="38"/>
      <c r="P27" s="38"/>
    </row>
    <row r="28" spans="1:13" ht="13.5" customHeight="1" thickBot="1">
      <c r="A28" s="130"/>
      <c r="B28" s="140" t="s">
        <v>120</v>
      </c>
      <c r="C28" s="141"/>
      <c r="D28" s="141"/>
      <c r="E28" s="141"/>
      <c r="F28" s="141"/>
      <c r="G28" s="160">
        <f>SUM(G24:G27)</f>
        <v>0.16</v>
      </c>
      <c r="H28" s="160">
        <f>IF(G28&lt;&gt;0,I28/G28,0)</f>
        <v>1.08</v>
      </c>
      <c r="I28" s="141">
        <f>SUM(I24:I27)</f>
        <v>0.1728</v>
      </c>
      <c r="J28" s="142">
        <f>SUM(I24:I27)</f>
        <v>0.1728</v>
      </c>
      <c r="K28" s="193">
        <v>0.08</v>
      </c>
      <c r="L28" s="143">
        <f>J28/(1-K28)</f>
        <v>0.18782608695652175</v>
      </c>
      <c r="M28" s="130"/>
    </row>
    <row r="29" spans="1:13" ht="5.25" customHeight="1" thickBot="1">
      <c r="A29" s="129"/>
      <c r="B29" s="17"/>
      <c r="C29" s="56"/>
      <c r="D29" s="56"/>
      <c r="E29" s="148"/>
      <c r="F29" s="56"/>
      <c r="G29" s="149"/>
      <c r="H29" s="152"/>
      <c r="I29" s="58"/>
      <c r="J29" s="56"/>
      <c r="K29" s="150"/>
      <c r="L29" s="153"/>
      <c r="M29" s="129"/>
    </row>
    <row r="30" spans="1:13" ht="24.75" customHeight="1">
      <c r="A30" s="129"/>
      <c r="B30" s="24" t="s">
        <v>83</v>
      </c>
      <c r="C30" s="210" t="s">
        <v>77</v>
      </c>
      <c r="D30" s="210" t="s">
        <v>26</v>
      </c>
      <c r="E30" s="211" t="s">
        <v>121</v>
      </c>
      <c r="F30" s="210" t="s">
        <v>25</v>
      </c>
      <c r="G30" s="212" t="s">
        <v>78</v>
      </c>
      <c r="H30" s="162" t="s">
        <v>106</v>
      </c>
      <c r="I30" s="210" t="s">
        <v>76</v>
      </c>
      <c r="J30" s="211" t="s">
        <v>93</v>
      </c>
      <c r="K30" s="34" t="s">
        <v>102</v>
      </c>
      <c r="L30" s="35" t="s">
        <v>81</v>
      </c>
      <c r="M30" s="129"/>
    </row>
    <row r="31" spans="1:13" ht="12" customHeight="1">
      <c r="A31" s="129"/>
      <c r="B31" s="73"/>
      <c r="C31" s="189"/>
      <c r="D31" s="189"/>
      <c r="E31" s="96">
        <f aca="true" t="shared" si="0" ref="E31:E44">C31*D31</f>
        <v>0</v>
      </c>
      <c r="F31" s="189"/>
      <c r="G31" s="101">
        <f aca="true" t="shared" si="1" ref="G31:G44">E31/60*F31</f>
        <v>0</v>
      </c>
      <c r="H31" s="189">
        <v>1</v>
      </c>
      <c r="I31" s="89">
        <f aca="true" t="shared" si="2" ref="I31:I44">(G31*H31)</f>
        <v>0</v>
      </c>
      <c r="J31" s="89"/>
      <c r="K31" s="97"/>
      <c r="L31" s="98"/>
      <c r="M31" s="129"/>
    </row>
    <row r="32" spans="1:13" ht="12" customHeight="1">
      <c r="A32" s="129"/>
      <c r="B32" s="73"/>
      <c r="C32" s="189"/>
      <c r="D32" s="189"/>
      <c r="E32" s="96">
        <f t="shared" si="0"/>
        <v>0</v>
      </c>
      <c r="F32" s="189"/>
      <c r="G32" s="101">
        <f>E32/60*F32</f>
        <v>0</v>
      </c>
      <c r="H32" s="189">
        <v>1</v>
      </c>
      <c r="I32" s="89">
        <f t="shared" si="2"/>
        <v>0</v>
      </c>
      <c r="J32" s="89"/>
      <c r="K32" s="97"/>
      <c r="L32" s="98"/>
      <c r="M32" s="129"/>
    </row>
    <row r="33" spans="1:13" ht="12" customHeight="1">
      <c r="A33" s="129"/>
      <c r="B33" s="73"/>
      <c r="C33" s="189"/>
      <c r="D33" s="189"/>
      <c r="E33" s="96">
        <f t="shared" si="0"/>
        <v>0</v>
      </c>
      <c r="F33" s="189"/>
      <c r="G33" s="101">
        <f t="shared" si="1"/>
        <v>0</v>
      </c>
      <c r="H33" s="189">
        <v>1</v>
      </c>
      <c r="I33" s="89">
        <f t="shared" si="2"/>
        <v>0</v>
      </c>
      <c r="J33" s="89"/>
      <c r="K33" s="97"/>
      <c r="L33" s="98"/>
      <c r="M33" s="129"/>
    </row>
    <row r="34" spans="1:13" ht="12" customHeight="1">
      <c r="A34" s="129"/>
      <c r="B34" s="73"/>
      <c r="C34" s="189"/>
      <c r="D34" s="189"/>
      <c r="E34" s="96">
        <f t="shared" si="0"/>
        <v>0</v>
      </c>
      <c r="F34" s="189"/>
      <c r="G34" s="101">
        <f t="shared" si="1"/>
        <v>0</v>
      </c>
      <c r="H34" s="189">
        <v>1</v>
      </c>
      <c r="I34" s="89">
        <f t="shared" si="2"/>
        <v>0</v>
      </c>
      <c r="J34" s="89"/>
      <c r="K34" s="97"/>
      <c r="L34" s="98"/>
      <c r="M34" s="129"/>
    </row>
    <row r="35" spans="1:13" ht="12" customHeight="1">
      <c r="A35" s="129"/>
      <c r="B35" s="73"/>
      <c r="C35" s="189"/>
      <c r="D35" s="189"/>
      <c r="E35" s="96">
        <f t="shared" si="0"/>
        <v>0</v>
      </c>
      <c r="F35" s="189"/>
      <c r="G35" s="101">
        <f t="shared" si="1"/>
        <v>0</v>
      </c>
      <c r="H35" s="189">
        <v>1</v>
      </c>
      <c r="I35" s="89">
        <f t="shared" si="2"/>
        <v>0</v>
      </c>
      <c r="J35" s="89"/>
      <c r="K35" s="97"/>
      <c r="L35" s="98"/>
      <c r="M35" s="129"/>
    </row>
    <row r="36" spans="1:13" ht="12" customHeight="1">
      <c r="A36" s="129"/>
      <c r="B36" s="73"/>
      <c r="C36" s="189"/>
      <c r="D36" s="189"/>
      <c r="E36" s="96">
        <f t="shared" si="0"/>
        <v>0</v>
      </c>
      <c r="F36" s="189"/>
      <c r="G36" s="101">
        <f t="shared" si="1"/>
        <v>0</v>
      </c>
      <c r="H36" s="189">
        <v>1</v>
      </c>
      <c r="I36" s="89">
        <f t="shared" si="2"/>
        <v>0</v>
      </c>
      <c r="J36" s="89"/>
      <c r="K36" s="97"/>
      <c r="L36" s="98"/>
      <c r="M36" s="129"/>
    </row>
    <row r="37" spans="1:13" ht="12" customHeight="1">
      <c r="A37" s="129"/>
      <c r="B37" s="73"/>
      <c r="C37" s="189"/>
      <c r="D37" s="189"/>
      <c r="E37" s="96">
        <f t="shared" si="0"/>
        <v>0</v>
      </c>
      <c r="F37" s="189"/>
      <c r="G37" s="101">
        <f t="shared" si="1"/>
        <v>0</v>
      </c>
      <c r="H37" s="189">
        <v>1</v>
      </c>
      <c r="I37" s="89">
        <f t="shared" si="2"/>
        <v>0</v>
      </c>
      <c r="J37" s="89"/>
      <c r="K37" s="97"/>
      <c r="L37" s="98"/>
      <c r="M37" s="129"/>
    </row>
    <row r="38" spans="1:13" ht="12" customHeight="1">
      <c r="A38" s="129"/>
      <c r="B38" s="73"/>
      <c r="C38" s="189"/>
      <c r="D38" s="189"/>
      <c r="E38" s="96">
        <f t="shared" si="0"/>
        <v>0</v>
      </c>
      <c r="F38" s="189"/>
      <c r="G38" s="101">
        <f t="shared" si="1"/>
        <v>0</v>
      </c>
      <c r="H38" s="189">
        <v>1</v>
      </c>
      <c r="I38" s="89">
        <f t="shared" si="2"/>
        <v>0</v>
      </c>
      <c r="J38" s="89"/>
      <c r="K38" s="97"/>
      <c r="L38" s="98"/>
      <c r="M38" s="129"/>
    </row>
    <row r="39" spans="1:13" ht="12" customHeight="1">
      <c r="A39" s="129"/>
      <c r="B39" s="73"/>
      <c r="C39" s="189"/>
      <c r="D39" s="189"/>
      <c r="E39" s="96">
        <f t="shared" si="0"/>
        <v>0</v>
      </c>
      <c r="F39" s="189"/>
      <c r="G39" s="101">
        <f t="shared" si="1"/>
        <v>0</v>
      </c>
      <c r="H39" s="189">
        <v>1</v>
      </c>
      <c r="I39" s="89">
        <f t="shared" si="2"/>
        <v>0</v>
      </c>
      <c r="J39" s="89"/>
      <c r="K39" s="97"/>
      <c r="L39" s="98"/>
      <c r="M39" s="129"/>
    </row>
    <row r="40" spans="1:13" ht="12" customHeight="1">
      <c r="A40" s="129"/>
      <c r="B40" s="73"/>
      <c r="C40" s="189"/>
      <c r="D40" s="189"/>
      <c r="E40" s="96">
        <f t="shared" si="0"/>
        <v>0</v>
      </c>
      <c r="F40" s="189"/>
      <c r="G40" s="101">
        <f t="shared" si="1"/>
        <v>0</v>
      </c>
      <c r="H40" s="189">
        <v>1</v>
      </c>
      <c r="I40" s="89">
        <f t="shared" si="2"/>
        <v>0</v>
      </c>
      <c r="J40" s="89"/>
      <c r="K40" s="97"/>
      <c r="L40" s="98"/>
      <c r="M40" s="129"/>
    </row>
    <row r="41" spans="1:13" ht="12" customHeight="1">
      <c r="A41" s="129"/>
      <c r="B41" s="75"/>
      <c r="C41" s="189"/>
      <c r="D41" s="189"/>
      <c r="E41" s="96">
        <f t="shared" si="0"/>
        <v>0</v>
      </c>
      <c r="F41" s="189"/>
      <c r="G41" s="101">
        <f t="shared" si="1"/>
        <v>0</v>
      </c>
      <c r="H41" s="189">
        <v>1</v>
      </c>
      <c r="I41" s="89">
        <f t="shared" si="2"/>
        <v>0</v>
      </c>
      <c r="J41" s="89"/>
      <c r="K41" s="97"/>
      <c r="L41" s="98"/>
      <c r="M41" s="129"/>
    </row>
    <row r="42" spans="1:13" ht="12" customHeight="1">
      <c r="A42" s="129"/>
      <c r="B42" s="73"/>
      <c r="C42" s="189"/>
      <c r="D42" s="189"/>
      <c r="E42" s="96">
        <f t="shared" si="0"/>
        <v>0</v>
      </c>
      <c r="F42" s="189"/>
      <c r="G42" s="101">
        <f t="shared" si="1"/>
        <v>0</v>
      </c>
      <c r="H42" s="189">
        <v>1</v>
      </c>
      <c r="I42" s="89">
        <f t="shared" si="2"/>
        <v>0</v>
      </c>
      <c r="J42" s="89"/>
      <c r="K42" s="91" t="s">
        <v>107</v>
      </c>
      <c r="L42" s="92">
        <f>(J45-G45)*$K$7</f>
        <v>0</v>
      </c>
      <c r="M42" s="129"/>
    </row>
    <row r="43" spans="1:13" ht="12" customHeight="1" thickBot="1">
      <c r="A43" s="129"/>
      <c r="B43" s="73"/>
      <c r="C43" s="189"/>
      <c r="D43" s="189"/>
      <c r="E43" s="96">
        <f t="shared" si="0"/>
        <v>0</v>
      </c>
      <c r="F43" s="189"/>
      <c r="G43" s="101">
        <f t="shared" si="1"/>
        <v>0</v>
      </c>
      <c r="H43" s="189">
        <v>1</v>
      </c>
      <c r="I43" s="89">
        <f t="shared" si="2"/>
        <v>0</v>
      </c>
      <c r="J43" s="89"/>
      <c r="K43" s="91" t="s">
        <v>118</v>
      </c>
      <c r="L43" s="92">
        <f>(L45-J45)*$K$7</f>
        <v>0</v>
      </c>
      <c r="M43" s="129"/>
    </row>
    <row r="44" spans="1:13" ht="12" customHeight="1">
      <c r="A44" s="129"/>
      <c r="B44" s="73"/>
      <c r="C44" s="189"/>
      <c r="D44" s="189"/>
      <c r="E44" s="96">
        <f t="shared" si="0"/>
        <v>0</v>
      </c>
      <c r="F44" s="189"/>
      <c r="G44" s="101">
        <f t="shared" si="1"/>
        <v>0</v>
      </c>
      <c r="H44" s="189">
        <v>1</v>
      </c>
      <c r="I44" s="89">
        <f t="shared" si="2"/>
        <v>0</v>
      </c>
      <c r="J44" s="90"/>
      <c r="K44" s="93" t="s">
        <v>117</v>
      </c>
      <c r="L44" s="99">
        <f>IF(L12&lt;&gt;0,L45/L12,"?")</f>
        <v>0</v>
      </c>
      <c r="M44" s="129"/>
    </row>
    <row r="45" spans="1:13" ht="13.5" customHeight="1" thickBot="1">
      <c r="A45" s="130"/>
      <c r="B45" s="144" t="s">
        <v>113</v>
      </c>
      <c r="C45" s="141"/>
      <c r="D45" s="141"/>
      <c r="E45" s="159">
        <f>SUM(E31:E44)</f>
        <v>0</v>
      </c>
      <c r="F45" s="160">
        <f>IF(E45&lt;&gt;0,(G45/E45)*60,0)</f>
        <v>0</v>
      </c>
      <c r="G45" s="141">
        <f>SUM(G31:G44)</f>
        <v>0</v>
      </c>
      <c r="H45" s="160">
        <f>IF(G45&lt;&gt;0,I45/G45,0)</f>
        <v>0</v>
      </c>
      <c r="I45" s="141">
        <f>SUM(I31:I44)</f>
        <v>0</v>
      </c>
      <c r="J45" s="142">
        <f>SUM(I31:I44)</f>
        <v>0</v>
      </c>
      <c r="K45" s="193">
        <v>0.5</v>
      </c>
      <c r="L45" s="143">
        <f>J45/(1-K45)</f>
        <v>0</v>
      </c>
      <c r="M45" s="130"/>
    </row>
    <row r="46" spans="1:13" ht="5.25" customHeight="1" thickBot="1">
      <c r="A46" s="129"/>
      <c r="B46" s="154"/>
      <c r="C46" s="56"/>
      <c r="D46" s="155"/>
      <c r="E46" s="56"/>
      <c r="F46" s="156"/>
      <c r="G46" s="156"/>
      <c r="H46" s="58"/>
      <c r="I46" s="149"/>
      <c r="J46" s="56"/>
      <c r="K46" s="157"/>
      <c r="L46" s="153"/>
      <c r="M46" s="129"/>
    </row>
    <row r="47" spans="1:14" ht="23.25" customHeight="1" hidden="1">
      <c r="A47" s="131" t="s">
        <v>48</v>
      </c>
      <c r="B47" s="20" t="s">
        <v>38</v>
      </c>
      <c r="C47" s="32" t="s">
        <v>27</v>
      </c>
      <c r="D47" s="46" t="s">
        <v>43</v>
      </c>
      <c r="E47" s="46" t="s">
        <v>44</v>
      </c>
      <c r="F47" s="39" t="s">
        <v>24</v>
      </c>
      <c r="G47" s="31" t="s">
        <v>36</v>
      </c>
      <c r="H47" s="32" t="s">
        <v>53</v>
      </c>
      <c r="I47" s="39" t="s">
        <v>28</v>
      </c>
      <c r="J47" s="32" t="s">
        <v>52</v>
      </c>
      <c r="K47" s="40" t="s">
        <v>29</v>
      </c>
      <c r="L47" s="41" t="s">
        <v>51</v>
      </c>
      <c r="M47" s="131" t="s">
        <v>48</v>
      </c>
      <c r="N47" s="87"/>
    </row>
    <row r="48" spans="1:14" ht="10.5" customHeight="1" hidden="1">
      <c r="A48" s="131"/>
      <c r="B48" s="73"/>
      <c r="C48" s="45"/>
      <c r="D48" s="47">
        <f>$I$7/$L$7</f>
        <v>1</v>
      </c>
      <c r="E48" s="47">
        <f>C48*D48</f>
        <v>0</v>
      </c>
      <c r="F48" s="36">
        <f>E48/$I$7</f>
        <v>0</v>
      </c>
      <c r="G48" s="36">
        <f>F48</f>
        <v>0</v>
      </c>
      <c r="H48" s="29">
        <v>1</v>
      </c>
      <c r="I48" s="25">
        <f>(G48*H48)</f>
        <v>0</v>
      </c>
      <c r="J48" s="25"/>
      <c r="K48" s="37"/>
      <c r="L48" s="60"/>
      <c r="M48" s="131"/>
      <c r="N48" s="87"/>
    </row>
    <row r="49" spans="1:14" ht="10.5" customHeight="1" hidden="1">
      <c r="A49" s="131"/>
      <c r="B49" s="73"/>
      <c r="C49" s="45"/>
      <c r="D49" s="47">
        <f>$I$7/$L$7</f>
        <v>1</v>
      </c>
      <c r="E49" s="47">
        <f>C49*D49</f>
        <v>0</v>
      </c>
      <c r="F49" s="36">
        <f>E49/$I$7</f>
        <v>0</v>
      </c>
      <c r="G49" s="36">
        <f>F49</f>
        <v>0</v>
      </c>
      <c r="H49" s="29">
        <v>1</v>
      </c>
      <c r="I49" s="25">
        <f>(G49*H49)</f>
        <v>0</v>
      </c>
      <c r="J49" s="25"/>
      <c r="K49" s="37"/>
      <c r="L49" s="60"/>
      <c r="M49" s="131"/>
      <c r="N49" s="87"/>
    </row>
    <row r="50" spans="1:14" ht="10.5" customHeight="1" hidden="1">
      <c r="A50" s="131"/>
      <c r="B50" s="73" t="s">
        <v>41</v>
      </c>
      <c r="C50" s="45">
        <v>0</v>
      </c>
      <c r="D50" s="47">
        <f>$I$7/$L$7</f>
        <v>1</v>
      </c>
      <c r="E50" s="49">
        <f>C50*D50</f>
        <v>0</v>
      </c>
      <c r="F50" s="36">
        <f>E50/$I$7</f>
        <v>0</v>
      </c>
      <c r="G50" s="36">
        <f>F50</f>
        <v>0</v>
      </c>
      <c r="H50" s="29">
        <v>1</v>
      </c>
      <c r="I50" s="25">
        <f>(G50*H50)</f>
        <v>0</v>
      </c>
      <c r="J50" s="25"/>
      <c r="K50" s="37" t="s">
        <v>37</v>
      </c>
      <c r="L50" s="60">
        <f>(J53-G53)*$K$7</f>
        <v>0</v>
      </c>
      <c r="M50" s="131"/>
      <c r="N50" s="87"/>
    </row>
    <row r="51" spans="1:14" ht="10.5" customHeight="1" hidden="1" thickBot="1">
      <c r="A51" s="131"/>
      <c r="B51" s="73" t="s">
        <v>42</v>
      </c>
      <c r="C51" s="45">
        <v>0</v>
      </c>
      <c r="D51" s="47">
        <f>$I$7/$L$7</f>
        <v>1</v>
      </c>
      <c r="E51" s="47">
        <f>C51*D51</f>
        <v>0</v>
      </c>
      <c r="F51" s="36">
        <f>E51/$I$7</f>
        <v>0</v>
      </c>
      <c r="G51" s="36">
        <f>F51</f>
        <v>0</v>
      </c>
      <c r="H51" s="29">
        <v>1</v>
      </c>
      <c r="I51" s="25">
        <f>(G51*H51)</f>
        <v>0</v>
      </c>
      <c r="J51" s="25"/>
      <c r="K51" s="37" t="s">
        <v>46</v>
      </c>
      <c r="L51" s="60">
        <f>(L53-J53)*$K$7</f>
        <v>0</v>
      </c>
      <c r="M51" s="131"/>
      <c r="N51" s="87"/>
    </row>
    <row r="52" spans="1:14" ht="10.5" customHeight="1" hidden="1">
      <c r="A52" s="131"/>
      <c r="B52" s="73" t="s">
        <v>45</v>
      </c>
      <c r="C52" s="45">
        <v>0</v>
      </c>
      <c r="D52" s="47">
        <f>$I$7/$L$7</f>
        <v>1</v>
      </c>
      <c r="E52" s="47">
        <f>C52*D52</f>
        <v>0</v>
      </c>
      <c r="F52" s="36">
        <f>E52/$I$7</f>
        <v>0</v>
      </c>
      <c r="G52" s="36">
        <f>F52</f>
        <v>0</v>
      </c>
      <c r="H52" s="29">
        <v>1</v>
      </c>
      <c r="I52" s="25">
        <f>(G52*H52)</f>
        <v>0</v>
      </c>
      <c r="J52" s="42"/>
      <c r="K52" s="43" t="s">
        <v>29</v>
      </c>
      <c r="L52" s="61">
        <f>IF(L12&lt;&gt;0,L53/L12,"?")</f>
        <v>0</v>
      </c>
      <c r="M52" s="131"/>
      <c r="N52" s="87"/>
    </row>
    <row r="53" spans="1:14" ht="10.5" customHeight="1" hidden="1" thickBot="1">
      <c r="A53" s="132" t="s">
        <v>49</v>
      </c>
      <c r="B53" s="76" t="s">
        <v>47</v>
      </c>
      <c r="C53" s="84"/>
      <c r="D53" s="84"/>
      <c r="E53" s="86"/>
      <c r="F53" s="84"/>
      <c r="G53" s="84">
        <f>SUM(G48:G52)</f>
        <v>0</v>
      </c>
      <c r="H53" s="84" t="str">
        <f>IF(G53&lt;&gt;0,I53/G53,"?")</f>
        <v>?</v>
      </c>
      <c r="I53" s="84">
        <f>SUM(I48:I52)</f>
        <v>0</v>
      </c>
      <c r="J53" s="85">
        <f>SUM(I50:I52)</f>
        <v>0</v>
      </c>
      <c r="K53" s="44">
        <v>0.25</v>
      </c>
      <c r="L53" s="62">
        <f>J53/(1-K53)</f>
        <v>0</v>
      </c>
      <c r="M53" s="132" t="s">
        <v>49</v>
      </c>
      <c r="N53" s="87"/>
    </row>
    <row r="54" spans="1:14" ht="5.25" customHeight="1" hidden="1" thickBot="1">
      <c r="A54" s="131"/>
      <c r="B54" s="63"/>
      <c r="C54" s="64"/>
      <c r="D54" s="65"/>
      <c r="E54" s="66"/>
      <c r="F54" s="67"/>
      <c r="G54" s="67"/>
      <c r="H54" s="68"/>
      <c r="I54" s="16"/>
      <c r="J54" s="64"/>
      <c r="K54" s="69"/>
      <c r="L54" s="70"/>
      <c r="M54" s="131"/>
      <c r="N54" s="87"/>
    </row>
    <row r="55" spans="1:13" ht="24.75" customHeight="1">
      <c r="A55" s="129"/>
      <c r="B55" s="20" t="s">
        <v>129</v>
      </c>
      <c r="C55" s="210" t="s">
        <v>27</v>
      </c>
      <c r="D55" s="5"/>
      <c r="E55" s="214" t="s">
        <v>105</v>
      </c>
      <c r="F55" s="209" t="s">
        <v>76</v>
      </c>
      <c r="G55" s="212" t="s">
        <v>78</v>
      </c>
      <c r="H55" s="162" t="s">
        <v>106</v>
      </c>
      <c r="I55" s="39" t="s">
        <v>104</v>
      </c>
      <c r="J55" s="210" t="s">
        <v>93</v>
      </c>
      <c r="K55" s="34" t="s">
        <v>102</v>
      </c>
      <c r="L55" s="41" t="s">
        <v>81</v>
      </c>
      <c r="M55" s="129"/>
    </row>
    <row r="56" spans="1:13" ht="12" customHeight="1">
      <c r="A56" s="129"/>
      <c r="B56" s="73"/>
      <c r="C56" s="194"/>
      <c r="D56" s="89"/>
      <c r="E56" s="100">
        <f>$I$7</f>
        <v>120</v>
      </c>
      <c r="F56" s="101">
        <f>C56/E56</f>
        <v>0</v>
      </c>
      <c r="G56" s="101">
        <f>F56</f>
        <v>0</v>
      </c>
      <c r="H56" s="189">
        <v>1</v>
      </c>
      <c r="I56" s="89">
        <f>(G56*H56)</f>
        <v>0</v>
      </c>
      <c r="J56" s="89"/>
      <c r="K56" s="91"/>
      <c r="L56" s="92"/>
      <c r="M56" s="129"/>
    </row>
    <row r="57" spans="1:13" ht="12" customHeight="1">
      <c r="A57" s="129"/>
      <c r="B57" s="73" t="s">
        <v>126</v>
      </c>
      <c r="C57" s="194"/>
      <c r="D57" s="89"/>
      <c r="E57" s="100">
        <f>$I$7</f>
        <v>120</v>
      </c>
      <c r="F57" s="101">
        <f>C57/E57</f>
        <v>0</v>
      </c>
      <c r="G57" s="101">
        <f>F57</f>
        <v>0</v>
      </c>
      <c r="H57" s="189">
        <v>1</v>
      </c>
      <c r="I57" s="89">
        <f>(G57*H57)</f>
        <v>0</v>
      </c>
      <c r="J57" s="89"/>
      <c r="K57" s="91"/>
      <c r="L57" s="92"/>
      <c r="M57" s="129"/>
    </row>
    <row r="58" spans="1:13" ht="12" customHeight="1">
      <c r="A58" s="129"/>
      <c r="B58" s="73" t="s">
        <v>96</v>
      </c>
      <c r="C58" s="194"/>
      <c r="D58" s="89"/>
      <c r="E58" s="100">
        <f>$I$7</f>
        <v>120</v>
      </c>
      <c r="F58" s="101">
        <f>C58/E58</f>
        <v>0</v>
      </c>
      <c r="G58" s="101">
        <f>F58</f>
        <v>0</v>
      </c>
      <c r="H58" s="189">
        <v>1</v>
      </c>
      <c r="I58" s="89">
        <f>(G58*H58)</f>
        <v>0</v>
      </c>
      <c r="J58" s="89"/>
      <c r="K58" s="91" t="s">
        <v>107</v>
      </c>
      <c r="L58" s="92">
        <f>(J61-G61)*$K$7</f>
        <v>0</v>
      </c>
      <c r="M58" s="129"/>
    </row>
    <row r="59" spans="1:13" ht="12" customHeight="1" thickBot="1">
      <c r="A59" s="129"/>
      <c r="B59" s="73" t="s">
        <v>119</v>
      </c>
      <c r="C59" s="194"/>
      <c r="D59" s="89"/>
      <c r="E59" s="100">
        <f>$I$7</f>
        <v>120</v>
      </c>
      <c r="F59" s="101">
        <f>C59/E59</f>
        <v>0</v>
      </c>
      <c r="G59" s="101">
        <f>F59</f>
        <v>0</v>
      </c>
      <c r="H59" s="189">
        <v>1</v>
      </c>
      <c r="I59" s="89">
        <f>(G59*H59)</f>
        <v>0</v>
      </c>
      <c r="J59" s="89"/>
      <c r="K59" s="91" t="s">
        <v>118</v>
      </c>
      <c r="L59" s="92">
        <f>(L61-J61)*$K$7</f>
        <v>0</v>
      </c>
      <c r="M59" s="129"/>
    </row>
    <row r="60" spans="1:13" ht="12" customHeight="1">
      <c r="A60" s="129"/>
      <c r="B60" s="73" t="s">
        <v>128</v>
      </c>
      <c r="C60" s="194"/>
      <c r="D60" s="89"/>
      <c r="E60" s="100">
        <f>$I$7</f>
        <v>120</v>
      </c>
      <c r="F60" s="101">
        <f>C60/E60</f>
        <v>0</v>
      </c>
      <c r="G60" s="101">
        <f>F60</f>
        <v>0</v>
      </c>
      <c r="H60" s="189">
        <v>1</v>
      </c>
      <c r="I60" s="89">
        <f>(G60*H60)</f>
        <v>0</v>
      </c>
      <c r="J60" s="90"/>
      <c r="K60" s="93" t="s">
        <v>117</v>
      </c>
      <c r="L60" s="99">
        <f>IF(L12&lt;&gt;0,L61/L12,"?")</f>
        <v>0</v>
      </c>
      <c r="M60" s="129"/>
    </row>
    <row r="61" spans="1:13" ht="13.5" customHeight="1" thickBot="1">
      <c r="A61" s="130"/>
      <c r="B61" s="114" t="s">
        <v>132</v>
      </c>
      <c r="C61" s="115"/>
      <c r="D61" s="115"/>
      <c r="E61" s="116"/>
      <c r="F61" s="115"/>
      <c r="G61" s="117">
        <f>SUM(G56:G60)</f>
        <v>0</v>
      </c>
      <c r="H61" s="117">
        <f>IF(G61&lt;&gt;0,I61/G61,0)</f>
        <v>0</v>
      </c>
      <c r="I61" s="115">
        <f>SUM(I56:I60)</f>
        <v>0</v>
      </c>
      <c r="J61" s="118">
        <f>SUM(I56:I60)</f>
        <v>0</v>
      </c>
      <c r="K61" s="192">
        <v>0.25</v>
      </c>
      <c r="L61" s="119">
        <f>J61/(1-K61)</f>
        <v>0</v>
      </c>
      <c r="M61" s="130"/>
    </row>
    <row r="62" spans="1:13" ht="5.25" customHeight="1" thickBot="1">
      <c r="A62" s="201"/>
      <c r="B62" s="120"/>
      <c r="C62" s="134"/>
      <c r="D62" s="134"/>
      <c r="E62" s="134"/>
      <c r="F62" s="134"/>
      <c r="G62" s="134"/>
      <c r="H62" s="134"/>
      <c r="I62" s="134"/>
      <c r="J62" s="135"/>
      <c r="K62" s="134"/>
      <c r="L62" s="136"/>
      <c r="M62" s="138"/>
    </row>
    <row r="63" spans="1:13" ht="12.75">
      <c r="A63" s="26"/>
      <c r="B63" s="3"/>
      <c r="C63" s="3"/>
      <c r="D63" s="3"/>
      <c r="E63" s="3"/>
      <c r="F63" s="50"/>
      <c r="G63" s="3"/>
      <c r="H63" s="3"/>
      <c r="I63" s="6"/>
      <c r="J63" s="3"/>
      <c r="M63" s="7"/>
    </row>
    <row r="64" spans="1:13" ht="12.75">
      <c r="A64" s="8"/>
      <c r="B64" s="26"/>
      <c r="C64" s="199"/>
      <c r="D64" s="26"/>
      <c r="E64" s="26"/>
      <c r="K64" s="4"/>
      <c r="L64" s="53"/>
      <c r="M64" s="8"/>
    </row>
    <row r="65" spans="1:13" ht="12.75">
      <c r="A65" s="8"/>
      <c r="B65" s="7"/>
      <c r="C65" s="12"/>
      <c r="D65" s="7"/>
      <c r="E65" s="7"/>
      <c r="G65" s="200"/>
      <c r="K65" s="4"/>
      <c r="L65" s="54"/>
      <c r="M65" s="8"/>
    </row>
    <row r="66" spans="1:13" ht="13.5">
      <c r="A66" s="8"/>
      <c r="B66" s="7"/>
      <c r="C66" s="7"/>
      <c r="D66" s="7"/>
      <c r="E66" s="7"/>
      <c r="F66" s="26"/>
      <c r="G66" s="199"/>
      <c r="H66" s="4"/>
      <c r="I66" s="4"/>
      <c r="J66" s="6"/>
      <c r="K66" s="4"/>
      <c r="L66" s="53"/>
      <c r="M66" s="8"/>
    </row>
    <row r="67" spans="1:13" ht="13.5">
      <c r="A67" s="8"/>
      <c r="B67" s="7"/>
      <c r="C67" s="7"/>
      <c r="D67" s="7"/>
      <c r="E67" s="7"/>
      <c r="F67" s="7"/>
      <c r="G67" s="12"/>
      <c r="H67" s="4"/>
      <c r="I67" s="4"/>
      <c r="J67" s="6"/>
      <c r="K67" s="8"/>
      <c r="L67" s="8"/>
      <c r="M67" s="8"/>
    </row>
    <row r="68" spans="1:13" ht="13.5">
      <c r="A68" s="8"/>
      <c r="B68" s="7"/>
      <c r="C68" s="7"/>
      <c r="D68" s="7"/>
      <c r="E68" s="7"/>
      <c r="F68" s="7"/>
      <c r="G68" s="7"/>
      <c r="H68" s="4"/>
      <c r="I68" s="4"/>
      <c r="J68" s="6"/>
      <c r="K68" s="8"/>
      <c r="L68" s="8"/>
      <c r="M68" s="8"/>
    </row>
    <row r="69" spans="1:13" ht="13.5">
      <c r="A69" s="7"/>
      <c r="B69" s="8"/>
      <c r="C69" s="7"/>
      <c r="D69" s="7"/>
      <c r="E69" s="7"/>
      <c r="F69" s="7"/>
      <c r="G69" s="7"/>
      <c r="H69" s="7"/>
      <c r="I69" s="7"/>
      <c r="J69" s="7"/>
      <c r="K69" s="8"/>
      <c r="L69" s="7"/>
      <c r="M69" s="7"/>
    </row>
    <row r="70" spans="1:13" ht="13.5">
      <c r="A70" s="7"/>
      <c r="B70" s="8"/>
      <c r="C70" s="8"/>
      <c r="D70" s="8"/>
      <c r="E70" s="7"/>
      <c r="F70" s="7"/>
      <c r="G70" s="7"/>
      <c r="H70" s="7"/>
      <c r="I70" s="7"/>
      <c r="J70" s="7"/>
      <c r="K70" s="8"/>
      <c r="L70" s="7"/>
      <c r="M70" s="7"/>
    </row>
    <row r="71" spans="1:13" ht="13.5">
      <c r="A71" s="7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</row>
    <row r="72" spans="1:13" ht="13.5">
      <c r="A72" s="7"/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  <c r="M72" s="7"/>
    </row>
    <row r="73" spans="1:13" ht="13.5">
      <c r="A73" s="7"/>
      <c r="B73" s="7"/>
      <c r="C73" s="7"/>
      <c r="D73" s="7"/>
      <c r="E73" s="7"/>
      <c r="F73" s="7"/>
      <c r="G73" s="7"/>
      <c r="H73" s="8"/>
      <c r="I73" s="8"/>
      <c r="J73" s="7"/>
      <c r="K73" s="7"/>
      <c r="L73" s="7"/>
      <c r="M73" s="7"/>
    </row>
    <row r="74" spans="1:13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3.5">
      <c r="A75" s="7"/>
      <c r="B75" s="1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3.5">
      <c r="A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3.5">
      <c r="A80" s="7"/>
      <c r="B80" s="7"/>
      <c r="C80" s="26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3.5">
      <c r="A84" s="7"/>
      <c r="B84" s="11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3.5">
      <c r="A85" s="7"/>
      <c r="B85" s="7"/>
      <c r="C85" s="12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3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3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3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3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3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3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3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3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3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3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3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3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3.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3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3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3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3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3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3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3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3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3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3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3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3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3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3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3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3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3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3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3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3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3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3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3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</sheetData>
  <sheetProtection/>
  <mergeCells count="16">
    <mergeCell ref="G8:L9"/>
    <mergeCell ref="B6:B7"/>
    <mergeCell ref="F3:L3"/>
    <mergeCell ref="F4:L4"/>
    <mergeCell ref="F5:L5"/>
    <mergeCell ref="G6:H7"/>
    <mergeCell ref="I2:J2"/>
    <mergeCell ref="K2:L2"/>
    <mergeCell ref="N18:P23"/>
    <mergeCell ref="B2:B3"/>
    <mergeCell ref="C2:E2"/>
    <mergeCell ref="C3:E3"/>
    <mergeCell ref="F2:H2"/>
    <mergeCell ref="B4:B5"/>
    <mergeCell ref="C4:E4"/>
    <mergeCell ref="C5:E5"/>
  </mergeCells>
  <printOptions/>
  <pageMargins left="0.75" right="0.75" top="1" bottom="1" header="0.4921259845" footer="0.4921259845"/>
  <pageSetup fitToHeight="1" fitToWidth="1" horizontalDpi="600" verticalDpi="600" orientation="portrait" paperSize="9" scale="87" r:id="rId3"/>
  <headerFooter alignWithMargins="0">
    <oddFooter>&amp;LTuotelaskelma v3_20060421&amp;R&amp;D&amp;T&amp;Z&amp;F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0"/>
  <sheetViews>
    <sheetView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O13" sqref="O13"/>
    </sheetView>
  </sheetViews>
  <sheetFormatPr defaultColWidth="9.140625" defaultRowHeight="12.75"/>
  <cols>
    <col min="1" max="1" width="0.71875" style="1" customWidth="1"/>
    <col min="2" max="2" width="28.28125" style="1" customWidth="1"/>
    <col min="3" max="7" width="8.7109375" style="1" customWidth="1"/>
    <col min="8" max="8" width="9.7109375" style="1" customWidth="1"/>
    <col min="9" max="11" width="8.7109375" style="1" customWidth="1"/>
    <col min="12" max="12" width="9.28125" style="1" customWidth="1"/>
    <col min="13" max="13" width="0.71875" style="1" customWidth="1"/>
    <col min="76" max="16384" width="9.140625" style="1" customWidth="1"/>
  </cols>
  <sheetData>
    <row r="1" spans="1:13" ht="5.25" customHeight="1" thickBot="1">
      <c r="A1" s="138"/>
      <c r="B1" s="133"/>
      <c r="C1" s="134"/>
      <c r="D1" s="134"/>
      <c r="E1" s="134"/>
      <c r="F1" s="134"/>
      <c r="G1" s="134"/>
      <c r="H1" s="134"/>
      <c r="I1" s="134"/>
      <c r="J1" s="135"/>
      <c r="K1" s="134"/>
      <c r="L1" s="136"/>
      <c r="M1" s="138"/>
    </row>
    <row r="2" spans="1:14" ht="13.5" customHeight="1">
      <c r="A2" s="128"/>
      <c r="B2" s="284"/>
      <c r="C2" s="239" t="s">
        <v>114</v>
      </c>
      <c r="D2" s="240"/>
      <c r="E2" s="241"/>
      <c r="F2" s="294" t="str">
        <f>Product!F2</f>
        <v>Kari Kolehmainen</v>
      </c>
      <c r="G2" s="295"/>
      <c r="H2" s="245"/>
      <c r="I2" s="233" t="s">
        <v>73</v>
      </c>
      <c r="J2" s="234"/>
      <c r="K2" s="286" t="str">
        <f>Product!K2</f>
        <v>22.1 2014</v>
      </c>
      <c r="L2" s="287"/>
      <c r="M2" s="128"/>
      <c r="N2" t="s">
        <v>31</v>
      </c>
    </row>
    <row r="3" spans="1:14" ht="15" customHeight="1">
      <c r="A3" s="123"/>
      <c r="B3" s="285"/>
      <c r="C3" s="288" t="s">
        <v>69</v>
      </c>
      <c r="D3" s="289"/>
      <c r="E3" s="290"/>
      <c r="F3" s="291">
        <f>Product!F3</f>
        <v>0</v>
      </c>
      <c r="G3" s="292"/>
      <c r="H3" s="292"/>
      <c r="I3" s="292"/>
      <c r="J3" s="292"/>
      <c r="K3" s="292"/>
      <c r="L3" s="293"/>
      <c r="M3" s="123"/>
      <c r="N3" t="s">
        <v>30</v>
      </c>
    </row>
    <row r="4" spans="1:14" ht="15" customHeight="1">
      <c r="A4" s="129"/>
      <c r="B4" s="273" t="s">
        <v>67</v>
      </c>
      <c r="C4" s="288" t="s">
        <v>70</v>
      </c>
      <c r="D4" s="289"/>
      <c r="E4" s="290"/>
      <c r="F4" s="291" t="s">
        <v>152</v>
      </c>
      <c r="G4" s="292"/>
      <c r="H4" s="292"/>
      <c r="I4" s="292"/>
      <c r="J4" s="292"/>
      <c r="K4" s="292"/>
      <c r="L4" s="293"/>
      <c r="M4" s="129"/>
      <c r="N4" t="s">
        <v>59</v>
      </c>
    </row>
    <row r="5" spans="1:14" ht="15" customHeight="1" thickBot="1">
      <c r="A5" s="129"/>
      <c r="B5" s="273"/>
      <c r="C5" s="288"/>
      <c r="D5" s="289"/>
      <c r="E5" s="290"/>
      <c r="F5" s="296" t="s">
        <v>154</v>
      </c>
      <c r="G5" s="297"/>
      <c r="H5" s="297"/>
      <c r="I5" s="297"/>
      <c r="J5" s="297"/>
      <c r="K5" s="297"/>
      <c r="L5" s="298"/>
      <c r="M5" s="129"/>
      <c r="N5" s="187" t="s">
        <v>58</v>
      </c>
    </row>
    <row r="6" spans="1:14" ht="12.75" customHeight="1">
      <c r="A6" s="129"/>
      <c r="B6" s="273" t="s">
        <v>74</v>
      </c>
      <c r="C6" s="79" t="s">
        <v>71</v>
      </c>
      <c r="D6" s="77"/>
      <c r="E6" s="77"/>
      <c r="F6" s="197" t="s">
        <v>90</v>
      </c>
      <c r="G6" s="277"/>
      <c r="H6" s="278"/>
      <c r="I6" s="174" t="s">
        <v>98</v>
      </c>
      <c r="J6" s="113"/>
      <c r="K6" s="176" t="s">
        <v>99</v>
      </c>
      <c r="L6" s="176" t="s">
        <v>100</v>
      </c>
      <c r="M6" s="129"/>
      <c r="N6" t="s">
        <v>32</v>
      </c>
    </row>
    <row r="7" spans="1:14" ht="12.75" customHeight="1" thickBot="1">
      <c r="A7" s="129"/>
      <c r="B7" s="273"/>
      <c r="C7" s="80"/>
      <c r="D7" s="78"/>
      <c r="E7" s="78"/>
      <c r="F7" s="198" t="s">
        <v>50</v>
      </c>
      <c r="G7" s="279"/>
      <c r="H7" s="280"/>
      <c r="I7" s="185">
        <v>20</v>
      </c>
      <c r="J7" s="177" t="s">
        <v>56</v>
      </c>
      <c r="K7" s="196">
        <v>10</v>
      </c>
      <c r="L7" s="195">
        <v>10</v>
      </c>
      <c r="M7" s="129"/>
      <c r="N7" t="s">
        <v>33</v>
      </c>
    </row>
    <row r="8" spans="1:13" ht="19.5" customHeight="1" thickBot="1">
      <c r="A8" s="129"/>
      <c r="B8" s="27"/>
      <c r="C8" s="14"/>
      <c r="D8" s="55"/>
      <c r="E8" s="82"/>
      <c r="F8" s="48"/>
      <c r="G8" s="269" t="s">
        <v>112</v>
      </c>
      <c r="H8" s="269"/>
      <c r="I8" s="269"/>
      <c r="J8" s="269"/>
      <c r="K8" s="269"/>
      <c r="L8" s="270"/>
      <c r="M8" s="129"/>
    </row>
    <row r="9" spans="1:13" ht="19.5" customHeight="1" thickBot="1">
      <c r="A9" s="129"/>
      <c r="B9" s="15"/>
      <c r="C9" s="63"/>
      <c r="D9" s="72"/>
      <c r="E9" s="215" t="s">
        <v>110</v>
      </c>
      <c r="F9" s="221">
        <v>1</v>
      </c>
      <c r="G9" s="271"/>
      <c r="H9" s="271"/>
      <c r="I9" s="271"/>
      <c r="J9" s="271"/>
      <c r="K9" s="271"/>
      <c r="L9" s="272"/>
      <c r="M9" s="129"/>
    </row>
    <row r="10" spans="1:13" ht="5.25" customHeight="1" thickBot="1">
      <c r="A10" s="129"/>
      <c r="B10" s="124"/>
      <c r="C10" s="125"/>
      <c r="D10" s="121"/>
      <c r="E10" s="125"/>
      <c r="F10" s="222"/>
      <c r="G10" s="121"/>
      <c r="H10" s="125"/>
      <c r="I10" s="121"/>
      <c r="J10" s="125"/>
      <c r="K10" s="126"/>
      <c r="L10" s="127"/>
      <c r="M10" s="129"/>
    </row>
    <row r="11" spans="1:13" ht="24.75" customHeight="1" thickBot="1">
      <c r="A11" s="129"/>
      <c r="B11" s="17" t="s">
        <v>85</v>
      </c>
      <c r="C11" s="18"/>
      <c r="D11" s="19"/>
      <c r="E11" s="213" t="s">
        <v>109</v>
      </c>
      <c r="F11" s="216" t="s">
        <v>89</v>
      </c>
      <c r="G11" s="21" t="s">
        <v>95</v>
      </c>
      <c r="H11" s="213" t="s">
        <v>107</v>
      </c>
      <c r="I11" s="216" t="s">
        <v>108</v>
      </c>
      <c r="J11" s="213" t="s">
        <v>93</v>
      </c>
      <c r="K11" s="22" t="s">
        <v>101</v>
      </c>
      <c r="L11" s="23" t="s">
        <v>81</v>
      </c>
      <c r="M11" s="129"/>
    </row>
    <row r="12" spans="1:13" ht="13.5" thickBot="1">
      <c r="A12" s="130"/>
      <c r="B12" s="14"/>
      <c r="C12" s="2"/>
      <c r="D12" s="3"/>
      <c r="E12" s="102">
        <f>IF($E$45&lt;&gt;0,(60/$E$45*(L12-J12)),0)</f>
        <v>28.695246179966052</v>
      </c>
      <c r="F12" s="103">
        <f>(E45/60)*$I$7</f>
        <v>1.0333333333333332</v>
      </c>
      <c r="G12" s="111">
        <f>G21+G28+G45+G53+G61</f>
        <v>2.0966666666666667</v>
      </c>
      <c r="H12" s="104">
        <f>(J12-G12)*$K$7</f>
        <v>0.32500000000000195</v>
      </c>
      <c r="I12" s="104">
        <f>(L12-J12)*$K$7</f>
        <v>14.82587719298246</v>
      </c>
      <c r="J12" s="105">
        <f>SUM(J17:J61)</f>
        <v>2.129166666666667</v>
      </c>
      <c r="K12" s="106">
        <f>IF(L12&lt;&gt;0,(L12-J12)/L12,0)</f>
        <v>0.4104896293777627</v>
      </c>
      <c r="L12" s="107">
        <f>L21+L28+L45+L53+L61</f>
        <v>3.611754385964913</v>
      </c>
      <c r="M12" s="130"/>
    </row>
    <row r="13" spans="1:13" ht="13.5" thickBot="1">
      <c r="A13" s="129"/>
      <c r="B13" s="13"/>
      <c r="C13" s="2"/>
      <c r="D13" s="3"/>
      <c r="E13" s="3"/>
      <c r="F13" s="3"/>
      <c r="G13" s="3"/>
      <c r="H13" s="3"/>
      <c r="I13" s="3"/>
      <c r="J13" s="3"/>
      <c r="K13" s="3"/>
      <c r="L13" s="108" t="s">
        <v>94</v>
      </c>
      <c r="M13" s="129"/>
    </row>
    <row r="14" spans="1:13" ht="13.5" thickBot="1">
      <c r="A14" s="129"/>
      <c r="B14" s="15"/>
      <c r="C14" s="71"/>
      <c r="D14" s="16"/>
      <c r="E14" s="102">
        <f>IF($E$45&lt;&gt;0,(60/$E$45*(L14-J12)),0)</f>
        <v>28.66129032258064</v>
      </c>
      <c r="F14" s="56"/>
      <c r="G14" s="112">
        <f>G12</f>
        <v>2.0966666666666667</v>
      </c>
      <c r="H14" s="57"/>
      <c r="I14" s="104">
        <f>(L14-J12)*$K$7</f>
        <v>14.80833333333333</v>
      </c>
      <c r="J14" s="58"/>
      <c r="K14" s="106">
        <f>IF(L14&lt;&gt;0,(L14-J12)/L14,"?")</f>
        <v>0.4102031394275161</v>
      </c>
      <c r="L14" s="188">
        <v>3.61</v>
      </c>
      <c r="M14" s="129"/>
    </row>
    <row r="15" spans="1:13" ht="5.25" customHeight="1" thickBot="1">
      <c r="A15" s="129"/>
      <c r="B15" s="120"/>
      <c r="C15" s="121"/>
      <c r="D15" s="121"/>
      <c r="E15" s="121"/>
      <c r="F15" s="121"/>
      <c r="G15" s="121"/>
      <c r="H15" s="121"/>
      <c r="I15" s="121"/>
      <c r="J15" s="122"/>
      <c r="K15" s="121"/>
      <c r="L15" s="123"/>
      <c r="M15" s="129"/>
    </row>
    <row r="16" spans="1:13" ht="24.75" customHeight="1">
      <c r="A16" s="129"/>
      <c r="B16" s="24" t="s">
        <v>82</v>
      </c>
      <c r="C16" s="210" t="s">
        <v>63</v>
      </c>
      <c r="D16" s="210" t="s">
        <v>35</v>
      </c>
      <c r="E16" s="211" t="s">
        <v>75</v>
      </c>
      <c r="F16" s="210" t="s">
        <v>91</v>
      </c>
      <c r="G16" s="31" t="s">
        <v>78</v>
      </c>
      <c r="H16" s="217" t="s">
        <v>106</v>
      </c>
      <c r="I16" s="210" t="s">
        <v>87</v>
      </c>
      <c r="J16" s="211" t="s">
        <v>93</v>
      </c>
      <c r="K16" s="161"/>
      <c r="L16" s="163" t="s">
        <v>81</v>
      </c>
      <c r="M16" s="129"/>
    </row>
    <row r="17" spans="1:13" ht="12" customHeight="1" thickBot="1">
      <c r="A17" s="129"/>
      <c r="B17" s="73" t="s">
        <v>153</v>
      </c>
      <c r="C17" s="29">
        <v>0.5</v>
      </c>
      <c r="D17" s="29">
        <v>1.3</v>
      </c>
      <c r="E17" s="226">
        <v>1</v>
      </c>
      <c r="F17" s="189">
        <f>D17*C17</f>
        <v>0.65</v>
      </c>
      <c r="G17" s="101">
        <f>(E17*F17)</f>
        <v>0.65</v>
      </c>
      <c r="H17" s="189">
        <v>1.05</v>
      </c>
      <c r="I17" s="89">
        <f>(G17*H17)</f>
        <v>0.6825000000000001</v>
      </c>
      <c r="J17" s="89"/>
      <c r="K17" s="89"/>
      <c r="L17" s="98"/>
      <c r="M17" s="129"/>
    </row>
    <row r="18" spans="1:16" ht="12" customHeight="1">
      <c r="A18" s="129"/>
      <c r="B18" s="73"/>
      <c r="C18" s="29"/>
      <c r="D18" s="29"/>
      <c r="E18" s="226"/>
      <c r="F18" s="189"/>
      <c r="G18" s="101">
        <f>(E18*F18)</f>
        <v>0</v>
      </c>
      <c r="H18" s="189">
        <v>1.08</v>
      </c>
      <c r="I18" s="89">
        <f>(G18*H18)</f>
        <v>0</v>
      </c>
      <c r="J18" s="89"/>
      <c r="K18" s="91" t="s">
        <v>107</v>
      </c>
      <c r="L18" s="92">
        <f>(J21-G21)*$K$7</f>
        <v>0.32500000000000084</v>
      </c>
      <c r="M18" s="129"/>
      <c r="N18" s="281" t="s">
        <v>55</v>
      </c>
      <c r="O18" s="259"/>
      <c r="P18" s="260"/>
    </row>
    <row r="19" spans="1:16" ht="12" customHeight="1" thickBot="1">
      <c r="A19" s="129"/>
      <c r="B19" s="73"/>
      <c r="C19" s="29"/>
      <c r="D19" s="29"/>
      <c r="E19" s="226"/>
      <c r="F19" s="189"/>
      <c r="G19" s="101">
        <f>(E19*F19)</f>
        <v>0</v>
      </c>
      <c r="H19" s="189">
        <v>1.08</v>
      </c>
      <c r="I19" s="89">
        <f>(G19*H19)</f>
        <v>0</v>
      </c>
      <c r="J19" s="89"/>
      <c r="K19" s="91" t="s">
        <v>118</v>
      </c>
      <c r="L19" s="92">
        <f>(L21-J21)*$K$7</f>
        <v>0.35921052631578965</v>
      </c>
      <c r="M19" s="129"/>
      <c r="N19" s="282"/>
      <c r="O19" s="261"/>
      <c r="P19" s="262"/>
    </row>
    <row r="20" spans="1:16" ht="12" customHeight="1">
      <c r="A20" s="129"/>
      <c r="B20" s="74"/>
      <c r="C20" s="30"/>
      <c r="D20" s="30"/>
      <c r="E20" s="226"/>
      <c r="F20" s="190"/>
      <c r="G20" s="101">
        <f>(E20*F20)</f>
        <v>0</v>
      </c>
      <c r="H20" s="191">
        <v>1.08</v>
      </c>
      <c r="I20" s="89">
        <f>(G20*H20)</f>
        <v>0</v>
      </c>
      <c r="J20" s="90"/>
      <c r="K20" s="93" t="s">
        <v>117</v>
      </c>
      <c r="L20" s="95">
        <f>IF(L12&lt;&gt;0,L21/L12,"?")</f>
        <v>0.19891193471608296</v>
      </c>
      <c r="M20" s="129"/>
      <c r="N20" s="282"/>
      <c r="O20" s="261"/>
      <c r="P20" s="262"/>
    </row>
    <row r="21" spans="1:16" ht="13.5" customHeight="1" thickBot="1">
      <c r="A21" s="130"/>
      <c r="B21" s="140" t="s">
        <v>88</v>
      </c>
      <c r="C21" s="141"/>
      <c r="D21" s="141"/>
      <c r="E21" s="141"/>
      <c r="F21" s="141"/>
      <c r="G21" s="160">
        <f>SUM(G17:G20)</f>
        <v>0.65</v>
      </c>
      <c r="H21" s="160">
        <f>IF(G21&lt;&gt;0,I21/G21,0)</f>
        <v>1.05</v>
      </c>
      <c r="I21" s="141">
        <f>SUM(I17:I20)</f>
        <v>0.6825000000000001</v>
      </c>
      <c r="J21" s="142">
        <f>SUM(I17:I20)</f>
        <v>0.6825000000000001</v>
      </c>
      <c r="K21" s="193">
        <v>0.05</v>
      </c>
      <c r="L21" s="143">
        <f>J21/(1-K21)</f>
        <v>0.7184210526315791</v>
      </c>
      <c r="M21" s="130"/>
      <c r="N21" s="282"/>
      <c r="O21" s="261"/>
      <c r="P21" s="262"/>
    </row>
    <row r="22" spans="1:16" ht="5.25" customHeight="1" thickBot="1">
      <c r="A22" s="129"/>
      <c r="B22" s="147"/>
      <c r="C22" s="56"/>
      <c r="D22" s="56"/>
      <c r="E22" s="148"/>
      <c r="F22" s="56"/>
      <c r="G22" s="149"/>
      <c r="H22" s="149"/>
      <c r="I22" s="105"/>
      <c r="J22" s="56"/>
      <c r="K22" s="150"/>
      <c r="L22" s="151"/>
      <c r="M22" s="129"/>
      <c r="N22" s="282"/>
      <c r="O22" s="261"/>
      <c r="P22" s="262"/>
    </row>
    <row r="23" spans="1:16" ht="22.5" customHeight="1" thickBot="1">
      <c r="A23" s="129"/>
      <c r="B23" s="24" t="s">
        <v>84</v>
      </c>
      <c r="C23" s="210" t="s">
        <v>34</v>
      </c>
      <c r="D23" s="32" t="s">
        <v>35</v>
      </c>
      <c r="E23" s="211" t="s">
        <v>75</v>
      </c>
      <c r="F23" s="210" t="s">
        <v>91</v>
      </c>
      <c r="G23" s="212" t="s">
        <v>78</v>
      </c>
      <c r="H23" s="217" t="s">
        <v>106</v>
      </c>
      <c r="I23" s="210" t="s">
        <v>104</v>
      </c>
      <c r="J23" s="211" t="s">
        <v>93</v>
      </c>
      <c r="K23" s="161"/>
      <c r="L23" s="163" t="s">
        <v>81</v>
      </c>
      <c r="M23" s="129"/>
      <c r="N23" s="283"/>
      <c r="O23" s="263"/>
      <c r="P23" s="264"/>
    </row>
    <row r="24" spans="1:16" ht="12" customHeight="1">
      <c r="A24" s="129"/>
      <c r="B24" s="73"/>
      <c r="C24" s="29"/>
      <c r="D24" s="29"/>
      <c r="E24" s="226"/>
      <c r="F24" s="189"/>
      <c r="G24" s="101">
        <f>(E24*F24)</f>
        <v>0</v>
      </c>
      <c r="H24" s="189">
        <v>1.05</v>
      </c>
      <c r="I24" s="89">
        <f>(G24*H24)</f>
        <v>0</v>
      </c>
      <c r="J24" s="89"/>
      <c r="K24" s="91"/>
      <c r="L24" s="92"/>
      <c r="M24" s="129"/>
      <c r="N24" s="38"/>
      <c r="O24" s="38"/>
      <c r="P24" s="38"/>
    </row>
    <row r="25" spans="1:16" ht="12" customHeight="1">
      <c r="A25" s="129"/>
      <c r="B25" s="73"/>
      <c r="C25" s="29"/>
      <c r="D25" s="29"/>
      <c r="E25" s="226"/>
      <c r="F25" s="189"/>
      <c r="G25" s="101">
        <f>(E25*F25)</f>
        <v>0</v>
      </c>
      <c r="H25" s="189">
        <v>1.08</v>
      </c>
      <c r="I25" s="89">
        <f>(G25*H25)</f>
        <v>0</v>
      </c>
      <c r="J25" s="89"/>
      <c r="K25" s="91" t="s">
        <v>107</v>
      </c>
      <c r="L25" s="92">
        <f>(J28-G28)*$K$7</f>
        <v>0</v>
      </c>
      <c r="M25" s="129"/>
      <c r="N25" s="38"/>
      <c r="O25" s="38"/>
      <c r="P25" s="38"/>
    </row>
    <row r="26" spans="1:16" ht="12" customHeight="1" thickBot="1">
      <c r="A26" s="129"/>
      <c r="B26" s="73"/>
      <c r="C26" s="29"/>
      <c r="D26" s="29"/>
      <c r="E26" s="226"/>
      <c r="F26" s="189"/>
      <c r="G26" s="101">
        <f>(E26*F26)</f>
        <v>0</v>
      </c>
      <c r="H26" s="189">
        <v>1.08</v>
      </c>
      <c r="I26" s="89">
        <f>(G26*H26)</f>
        <v>0</v>
      </c>
      <c r="J26" s="89"/>
      <c r="K26" s="91" t="s">
        <v>118</v>
      </c>
      <c r="L26" s="92">
        <f>(L28-J28)*$K$7</f>
        <v>0</v>
      </c>
      <c r="M26" s="129"/>
      <c r="N26" s="38"/>
      <c r="O26" s="38"/>
      <c r="P26" s="38"/>
    </row>
    <row r="27" spans="1:16" ht="12" customHeight="1">
      <c r="A27" s="129"/>
      <c r="B27" s="73"/>
      <c r="C27" s="29"/>
      <c r="D27" s="29"/>
      <c r="E27" s="226"/>
      <c r="F27" s="189"/>
      <c r="G27" s="101">
        <f>(E27*F27)</f>
        <v>0</v>
      </c>
      <c r="H27" s="189">
        <v>1.08</v>
      </c>
      <c r="I27" s="89">
        <f>(G27*H27)</f>
        <v>0</v>
      </c>
      <c r="J27" s="90"/>
      <c r="K27" s="93" t="s">
        <v>117</v>
      </c>
      <c r="L27" s="99">
        <f>IF(L12&lt;&gt;0,L28/L12,"?")</f>
        <v>0</v>
      </c>
      <c r="M27" s="129"/>
      <c r="N27" s="38"/>
      <c r="O27" s="38"/>
      <c r="P27" s="38"/>
    </row>
    <row r="28" spans="1:13" ht="13.5" customHeight="1" thickBot="1">
      <c r="A28" s="130"/>
      <c r="B28" s="140" t="s">
        <v>120</v>
      </c>
      <c r="C28" s="141"/>
      <c r="D28" s="141"/>
      <c r="E28" s="141"/>
      <c r="F28" s="141"/>
      <c r="G28" s="160">
        <f>SUM(G24:G27)</f>
        <v>0</v>
      </c>
      <c r="H28" s="160">
        <f>IF(G28&lt;&gt;0,I28/G28,0)</f>
        <v>0</v>
      </c>
      <c r="I28" s="141">
        <f>SUM(I24:I27)</f>
        <v>0</v>
      </c>
      <c r="J28" s="142">
        <f>SUM(I24:I27)</f>
        <v>0</v>
      </c>
      <c r="K28" s="193">
        <v>0.05</v>
      </c>
      <c r="L28" s="143">
        <f>J28/(1-K28)</f>
        <v>0</v>
      </c>
      <c r="M28" s="130"/>
    </row>
    <row r="29" spans="1:13" ht="5.25" customHeight="1" thickBot="1">
      <c r="A29" s="129"/>
      <c r="B29" s="17"/>
      <c r="C29" s="56"/>
      <c r="D29" s="56"/>
      <c r="E29" s="148"/>
      <c r="F29" s="56"/>
      <c r="G29" s="149"/>
      <c r="H29" s="152"/>
      <c r="I29" s="58"/>
      <c r="J29" s="56"/>
      <c r="K29" s="150"/>
      <c r="L29" s="153"/>
      <c r="M29" s="129"/>
    </row>
    <row r="30" spans="1:13" ht="24.75" customHeight="1">
      <c r="A30" s="129"/>
      <c r="B30" s="24" t="s">
        <v>83</v>
      </c>
      <c r="C30" s="210" t="s">
        <v>92</v>
      </c>
      <c r="D30" s="210" t="s">
        <v>26</v>
      </c>
      <c r="E30" s="211" t="s">
        <v>121</v>
      </c>
      <c r="F30" s="210" t="s">
        <v>25</v>
      </c>
      <c r="G30" s="212" t="s">
        <v>78</v>
      </c>
      <c r="H30" s="217" t="s">
        <v>106</v>
      </c>
      <c r="I30" s="210" t="s">
        <v>76</v>
      </c>
      <c r="J30" s="211" t="s">
        <v>93</v>
      </c>
      <c r="K30" s="34" t="s">
        <v>102</v>
      </c>
      <c r="L30" s="35" t="s">
        <v>81</v>
      </c>
      <c r="M30" s="129"/>
    </row>
    <row r="31" spans="1:13" ht="12" customHeight="1">
      <c r="A31" s="129"/>
      <c r="B31" s="73" t="s">
        <v>136</v>
      </c>
      <c r="C31" s="226">
        <v>1</v>
      </c>
      <c r="D31" s="189">
        <v>1</v>
      </c>
      <c r="E31" s="96">
        <f aca="true" t="shared" si="0" ref="E31:E44">C31*D31</f>
        <v>1</v>
      </c>
      <c r="F31" s="189">
        <v>28</v>
      </c>
      <c r="G31" s="101">
        <f aca="true" t="shared" si="1" ref="G31:G44">E31/60*F31</f>
        <v>0.4666666666666667</v>
      </c>
      <c r="H31" s="189">
        <v>1</v>
      </c>
      <c r="I31" s="89">
        <f aca="true" t="shared" si="2" ref="I31:I44">(G31*H31)</f>
        <v>0.4666666666666667</v>
      </c>
      <c r="J31" s="89"/>
      <c r="K31" s="97"/>
      <c r="L31" s="98"/>
      <c r="M31" s="129"/>
    </row>
    <row r="32" spans="1:13" ht="12" customHeight="1">
      <c r="A32" s="129"/>
      <c r="B32" s="73" t="s">
        <v>144</v>
      </c>
      <c r="C32" s="226">
        <v>1</v>
      </c>
      <c r="D32" s="189">
        <f>8/K7</f>
        <v>0.8</v>
      </c>
      <c r="E32" s="96">
        <f t="shared" si="0"/>
        <v>0.8</v>
      </c>
      <c r="F32" s="189">
        <v>28</v>
      </c>
      <c r="G32" s="101">
        <f>E32/60*F32</f>
        <v>0.37333333333333335</v>
      </c>
      <c r="H32" s="189">
        <v>1</v>
      </c>
      <c r="I32" s="89">
        <f t="shared" si="2"/>
        <v>0.37333333333333335</v>
      </c>
      <c r="J32" s="89"/>
      <c r="K32" s="97"/>
      <c r="L32" s="98"/>
      <c r="M32" s="129"/>
    </row>
    <row r="33" spans="1:13" ht="12" customHeight="1">
      <c r="A33" s="129"/>
      <c r="B33" s="73"/>
      <c r="C33" s="226"/>
      <c r="D33" s="189"/>
      <c r="E33" s="96">
        <f t="shared" si="0"/>
        <v>0</v>
      </c>
      <c r="F33" s="189"/>
      <c r="G33" s="101">
        <f t="shared" si="1"/>
        <v>0</v>
      </c>
      <c r="H33" s="189">
        <v>1</v>
      </c>
      <c r="I33" s="89">
        <f t="shared" si="2"/>
        <v>0</v>
      </c>
      <c r="J33" s="89"/>
      <c r="K33" s="97"/>
      <c r="L33" s="98"/>
      <c r="M33" s="129"/>
    </row>
    <row r="34" spans="1:13" ht="12" customHeight="1">
      <c r="A34" s="129"/>
      <c r="B34" s="73" t="s">
        <v>138</v>
      </c>
      <c r="C34" s="226">
        <v>2</v>
      </c>
      <c r="D34" s="189">
        <v>0.25</v>
      </c>
      <c r="E34" s="96">
        <f t="shared" si="0"/>
        <v>0.5</v>
      </c>
      <c r="F34" s="189">
        <v>28</v>
      </c>
      <c r="G34" s="101">
        <f t="shared" si="1"/>
        <v>0.23333333333333334</v>
      </c>
      <c r="H34" s="189">
        <v>1</v>
      </c>
      <c r="I34" s="89">
        <f t="shared" si="2"/>
        <v>0.23333333333333334</v>
      </c>
      <c r="J34" s="89"/>
      <c r="K34" s="97"/>
      <c r="L34" s="98"/>
      <c r="M34" s="129"/>
    </row>
    <row r="35" spans="1:13" ht="12" customHeight="1">
      <c r="A35" s="129"/>
      <c r="B35" s="73" t="s">
        <v>144</v>
      </c>
      <c r="C35" s="226">
        <v>1</v>
      </c>
      <c r="D35" s="189">
        <f>8/K7</f>
        <v>0.8</v>
      </c>
      <c r="E35" s="96">
        <f t="shared" si="0"/>
        <v>0.8</v>
      </c>
      <c r="F35" s="189">
        <v>28</v>
      </c>
      <c r="G35" s="101">
        <f t="shared" si="1"/>
        <v>0.37333333333333335</v>
      </c>
      <c r="H35" s="189">
        <v>1</v>
      </c>
      <c r="I35" s="89">
        <f t="shared" si="2"/>
        <v>0.37333333333333335</v>
      </c>
      <c r="J35" s="89"/>
      <c r="K35" s="97"/>
      <c r="L35" s="98"/>
      <c r="M35" s="129"/>
    </row>
    <row r="36" spans="1:13" ht="12" customHeight="1">
      <c r="A36" s="129"/>
      <c r="B36" s="73"/>
      <c r="C36" s="226"/>
      <c r="D36" s="189"/>
      <c r="E36" s="96">
        <f t="shared" si="0"/>
        <v>0</v>
      </c>
      <c r="F36" s="189"/>
      <c r="G36" s="101">
        <f t="shared" si="1"/>
        <v>0</v>
      </c>
      <c r="H36" s="189">
        <v>1</v>
      </c>
      <c r="I36" s="89">
        <f t="shared" si="2"/>
        <v>0</v>
      </c>
      <c r="J36" s="89"/>
      <c r="K36" s="97"/>
      <c r="L36" s="98"/>
      <c r="M36" s="129"/>
    </row>
    <row r="37" spans="1:13" ht="12" customHeight="1">
      <c r="A37" s="129"/>
      <c r="B37" s="73"/>
      <c r="C37" s="226"/>
      <c r="D37" s="189"/>
      <c r="E37" s="96">
        <f t="shared" si="0"/>
        <v>0</v>
      </c>
      <c r="F37" s="189"/>
      <c r="G37" s="101">
        <f t="shared" si="1"/>
        <v>0</v>
      </c>
      <c r="H37" s="189">
        <v>1</v>
      </c>
      <c r="I37" s="89">
        <f t="shared" si="2"/>
        <v>0</v>
      </c>
      <c r="J37" s="89"/>
      <c r="K37" s="97"/>
      <c r="L37" s="98"/>
      <c r="M37" s="129"/>
    </row>
    <row r="38" spans="1:13" ht="12" customHeight="1">
      <c r="A38" s="129"/>
      <c r="B38" s="73"/>
      <c r="C38" s="226"/>
      <c r="D38" s="189"/>
      <c r="E38" s="96">
        <f t="shared" si="0"/>
        <v>0</v>
      </c>
      <c r="F38" s="189"/>
      <c r="G38" s="101">
        <f t="shared" si="1"/>
        <v>0</v>
      </c>
      <c r="H38" s="189">
        <v>1</v>
      </c>
      <c r="I38" s="89">
        <f t="shared" si="2"/>
        <v>0</v>
      </c>
      <c r="J38" s="89"/>
      <c r="K38" s="97"/>
      <c r="L38" s="98"/>
      <c r="M38" s="129"/>
    </row>
    <row r="39" spans="1:13" ht="12" customHeight="1">
      <c r="A39" s="129"/>
      <c r="B39" s="73"/>
      <c r="C39" s="226"/>
      <c r="D39" s="189"/>
      <c r="E39" s="96">
        <f t="shared" si="0"/>
        <v>0</v>
      </c>
      <c r="F39" s="189"/>
      <c r="G39" s="101">
        <f t="shared" si="1"/>
        <v>0</v>
      </c>
      <c r="H39" s="189">
        <v>1</v>
      </c>
      <c r="I39" s="89">
        <f t="shared" si="2"/>
        <v>0</v>
      </c>
      <c r="J39" s="89"/>
      <c r="K39" s="97"/>
      <c r="L39" s="98"/>
      <c r="M39" s="129"/>
    </row>
    <row r="40" spans="1:13" ht="12" customHeight="1">
      <c r="A40" s="129"/>
      <c r="B40" s="73"/>
      <c r="C40" s="226"/>
      <c r="D40" s="189"/>
      <c r="E40" s="96">
        <f t="shared" si="0"/>
        <v>0</v>
      </c>
      <c r="F40" s="189"/>
      <c r="G40" s="101">
        <f t="shared" si="1"/>
        <v>0</v>
      </c>
      <c r="H40" s="189">
        <v>1</v>
      </c>
      <c r="I40" s="89">
        <f t="shared" si="2"/>
        <v>0</v>
      </c>
      <c r="J40" s="89"/>
      <c r="K40" s="97"/>
      <c r="L40" s="98"/>
      <c r="M40" s="129"/>
    </row>
    <row r="41" spans="1:13" ht="12" customHeight="1">
      <c r="A41" s="129"/>
      <c r="B41" s="73"/>
      <c r="C41" s="226"/>
      <c r="D41" s="189"/>
      <c r="E41" s="96">
        <f t="shared" si="0"/>
        <v>0</v>
      </c>
      <c r="F41" s="189"/>
      <c r="G41" s="101">
        <f t="shared" si="1"/>
        <v>0</v>
      </c>
      <c r="H41" s="189">
        <v>1</v>
      </c>
      <c r="I41" s="89">
        <f t="shared" si="2"/>
        <v>0</v>
      </c>
      <c r="J41" s="89"/>
      <c r="K41" s="97"/>
      <c r="L41" s="98"/>
      <c r="M41" s="129"/>
    </row>
    <row r="42" spans="1:13" ht="12" customHeight="1">
      <c r="A42" s="129"/>
      <c r="B42" s="73"/>
      <c r="C42" s="226"/>
      <c r="D42" s="189"/>
      <c r="E42" s="96">
        <f t="shared" si="0"/>
        <v>0</v>
      </c>
      <c r="F42" s="189"/>
      <c r="G42" s="101">
        <f t="shared" si="1"/>
        <v>0</v>
      </c>
      <c r="H42" s="189">
        <v>1</v>
      </c>
      <c r="I42" s="89">
        <f t="shared" si="2"/>
        <v>0</v>
      </c>
      <c r="J42" s="89"/>
      <c r="K42" s="91" t="s">
        <v>107</v>
      </c>
      <c r="L42" s="92">
        <f>(J45-G45)*$K$7</f>
        <v>0</v>
      </c>
      <c r="M42" s="129"/>
    </row>
    <row r="43" spans="1:13" ht="12" customHeight="1" thickBot="1">
      <c r="A43" s="129"/>
      <c r="B43" s="73"/>
      <c r="C43" s="226"/>
      <c r="D43" s="189"/>
      <c r="E43" s="96">
        <f t="shared" si="0"/>
        <v>0</v>
      </c>
      <c r="F43" s="189"/>
      <c r="G43" s="101">
        <f t="shared" si="1"/>
        <v>0</v>
      </c>
      <c r="H43" s="189">
        <v>1</v>
      </c>
      <c r="I43" s="89">
        <f t="shared" si="2"/>
        <v>0</v>
      </c>
      <c r="J43" s="89"/>
      <c r="K43" s="91" t="s">
        <v>118</v>
      </c>
      <c r="L43" s="92">
        <f>(L45-J45)*$K$7</f>
        <v>14.466666666666669</v>
      </c>
      <c r="M43" s="129"/>
    </row>
    <row r="44" spans="1:13" ht="12" customHeight="1">
      <c r="A44" s="129"/>
      <c r="B44" s="73"/>
      <c r="C44" s="226"/>
      <c r="D44" s="189"/>
      <c r="E44" s="96">
        <f t="shared" si="0"/>
        <v>0</v>
      </c>
      <c r="F44" s="189"/>
      <c r="G44" s="101">
        <f t="shared" si="1"/>
        <v>0</v>
      </c>
      <c r="H44" s="189">
        <v>1</v>
      </c>
      <c r="I44" s="89">
        <f t="shared" si="2"/>
        <v>0</v>
      </c>
      <c r="J44" s="90"/>
      <c r="K44" s="93" t="s">
        <v>117</v>
      </c>
      <c r="L44" s="99">
        <f>IF(L12&lt;&gt;0,L45/L12,"?")</f>
        <v>0.801088065283917</v>
      </c>
      <c r="M44" s="129"/>
    </row>
    <row r="45" spans="1:13" ht="13.5" customHeight="1" thickBot="1">
      <c r="A45" s="130"/>
      <c r="B45" s="144" t="s">
        <v>113</v>
      </c>
      <c r="C45" s="141"/>
      <c r="D45" s="141"/>
      <c r="E45" s="159">
        <f>SUM(E31:E44)</f>
        <v>3.0999999999999996</v>
      </c>
      <c r="F45" s="160">
        <f>IF(E45&lt;&gt;0,(G45/E45)*60,0)</f>
        <v>28.000000000000004</v>
      </c>
      <c r="G45" s="141">
        <f>SUM(G31:G44)</f>
        <v>1.4466666666666668</v>
      </c>
      <c r="H45" s="160">
        <f>IF(G45&lt;&gt;0,I45/G45,0)</f>
        <v>1</v>
      </c>
      <c r="I45" s="141">
        <f>SUM(I31:I44)</f>
        <v>1.4466666666666668</v>
      </c>
      <c r="J45" s="142">
        <f>SUM(I31:I44)</f>
        <v>1.4466666666666668</v>
      </c>
      <c r="K45" s="193">
        <v>0.5</v>
      </c>
      <c r="L45" s="143">
        <f>J45/(1-K45)</f>
        <v>2.8933333333333335</v>
      </c>
      <c r="M45" s="130"/>
    </row>
    <row r="46" spans="1:13" ht="5.25" customHeight="1" thickBot="1">
      <c r="A46" s="129"/>
      <c r="B46" s="154"/>
      <c r="C46" s="56"/>
      <c r="D46" s="155"/>
      <c r="E46" s="56"/>
      <c r="F46" s="156"/>
      <c r="G46" s="156"/>
      <c r="H46" s="58"/>
      <c r="I46" s="149"/>
      <c r="J46" s="56"/>
      <c r="K46" s="157"/>
      <c r="L46" s="153"/>
      <c r="M46" s="129"/>
    </row>
    <row r="47" spans="1:14" ht="23.25" customHeight="1" hidden="1">
      <c r="A47" s="131" t="s">
        <v>48</v>
      </c>
      <c r="B47" s="20" t="s">
        <v>38</v>
      </c>
      <c r="C47" s="32" t="s">
        <v>27</v>
      </c>
      <c r="D47" s="46" t="s">
        <v>43</v>
      </c>
      <c r="E47" s="46" t="s">
        <v>44</v>
      </c>
      <c r="F47" s="39" t="s">
        <v>24</v>
      </c>
      <c r="G47" s="31" t="s">
        <v>36</v>
      </c>
      <c r="H47" s="32" t="s">
        <v>53</v>
      </c>
      <c r="I47" s="39" t="s">
        <v>28</v>
      </c>
      <c r="J47" s="32" t="s">
        <v>52</v>
      </c>
      <c r="K47" s="40" t="s">
        <v>29</v>
      </c>
      <c r="L47" s="41" t="s">
        <v>51</v>
      </c>
      <c r="M47" s="131" t="s">
        <v>48</v>
      </c>
      <c r="N47" s="87"/>
    </row>
    <row r="48" spans="1:14" ht="10.5" customHeight="1" hidden="1" thickBot="1">
      <c r="A48" s="131"/>
      <c r="B48" s="73"/>
      <c r="C48" s="45"/>
      <c r="D48" s="47">
        <f>$I$7/$L$7</f>
        <v>2</v>
      </c>
      <c r="E48" s="47">
        <f>C48*D48</f>
        <v>0</v>
      </c>
      <c r="F48" s="36">
        <f>E48/$I$7</f>
        <v>0</v>
      </c>
      <c r="G48" s="36">
        <f>F48</f>
        <v>0</v>
      </c>
      <c r="H48" s="29">
        <v>1</v>
      </c>
      <c r="I48" s="25">
        <f>(G48*H48)</f>
        <v>0</v>
      </c>
      <c r="J48" s="25"/>
      <c r="K48" s="37"/>
      <c r="L48" s="60"/>
      <c r="M48" s="131"/>
      <c r="N48" s="87"/>
    </row>
    <row r="49" spans="1:14" ht="10.5" customHeight="1" hidden="1" thickBot="1">
      <c r="A49" s="131"/>
      <c r="B49" s="73"/>
      <c r="C49" s="45"/>
      <c r="D49" s="47">
        <f>$I$7/$L$7</f>
        <v>2</v>
      </c>
      <c r="E49" s="47">
        <f>C49*D49</f>
        <v>0</v>
      </c>
      <c r="F49" s="36">
        <f>E49/$I$7</f>
        <v>0</v>
      </c>
      <c r="G49" s="36">
        <f>F49</f>
        <v>0</v>
      </c>
      <c r="H49" s="29">
        <v>1</v>
      </c>
      <c r="I49" s="25">
        <f>(G49*H49)</f>
        <v>0</v>
      </c>
      <c r="J49" s="25"/>
      <c r="K49" s="37"/>
      <c r="L49" s="60"/>
      <c r="M49" s="131"/>
      <c r="N49" s="87"/>
    </row>
    <row r="50" spans="1:14" ht="10.5" customHeight="1" hidden="1">
      <c r="A50" s="131"/>
      <c r="B50" s="73" t="s">
        <v>41</v>
      </c>
      <c r="C50" s="45">
        <v>0</v>
      </c>
      <c r="D50" s="47">
        <f>$I$7/$L$7</f>
        <v>2</v>
      </c>
      <c r="E50" s="49">
        <f>C50*D50</f>
        <v>0</v>
      </c>
      <c r="F50" s="36">
        <f>E50/$I$7</f>
        <v>0</v>
      </c>
      <c r="G50" s="36">
        <f>F50</f>
        <v>0</v>
      </c>
      <c r="H50" s="29">
        <v>1</v>
      </c>
      <c r="I50" s="25">
        <f>(G50*H50)</f>
        <v>0</v>
      </c>
      <c r="J50" s="25"/>
      <c r="K50" s="37" t="s">
        <v>37</v>
      </c>
      <c r="L50" s="60">
        <f>(J53-G53)*$K$7</f>
        <v>0</v>
      </c>
      <c r="M50" s="131"/>
      <c r="N50" s="87"/>
    </row>
    <row r="51" spans="1:14" ht="10.5" customHeight="1" hidden="1">
      <c r="A51" s="131"/>
      <c r="B51" s="73" t="s">
        <v>42</v>
      </c>
      <c r="C51" s="45">
        <v>0</v>
      </c>
      <c r="D51" s="47">
        <f>$I$7/$L$7</f>
        <v>2</v>
      </c>
      <c r="E51" s="47">
        <f>C51*D51</f>
        <v>0</v>
      </c>
      <c r="F51" s="36">
        <f>E51/$I$7</f>
        <v>0</v>
      </c>
      <c r="G51" s="36">
        <f>F51</f>
        <v>0</v>
      </c>
      <c r="H51" s="29">
        <v>1</v>
      </c>
      <c r="I51" s="25">
        <f>(G51*H51)</f>
        <v>0</v>
      </c>
      <c r="J51" s="25"/>
      <c r="K51" s="37" t="s">
        <v>46</v>
      </c>
      <c r="L51" s="60">
        <f>(L53-J53)*$K$7</f>
        <v>0</v>
      </c>
      <c r="M51" s="131"/>
      <c r="N51" s="87"/>
    </row>
    <row r="52" spans="1:14" ht="10.5" customHeight="1" hidden="1">
      <c r="A52" s="131"/>
      <c r="B52" s="73" t="s">
        <v>45</v>
      </c>
      <c r="C52" s="45">
        <v>0</v>
      </c>
      <c r="D52" s="47">
        <f>$I$7/$L$7</f>
        <v>2</v>
      </c>
      <c r="E52" s="47">
        <f>C52*D52</f>
        <v>0</v>
      </c>
      <c r="F52" s="36">
        <f>E52/$I$7</f>
        <v>0</v>
      </c>
      <c r="G52" s="36">
        <f>F52</f>
        <v>0</v>
      </c>
      <c r="H52" s="29">
        <v>1</v>
      </c>
      <c r="I52" s="25">
        <f>(G52*H52)</f>
        <v>0</v>
      </c>
      <c r="J52" s="42"/>
      <c r="K52" s="43" t="s">
        <v>29</v>
      </c>
      <c r="L52" s="61">
        <f>IF(L12&lt;&gt;0,L53/L12,"?")</f>
        <v>0</v>
      </c>
      <c r="M52" s="131"/>
      <c r="N52" s="87"/>
    </row>
    <row r="53" spans="1:14" ht="10.5" customHeight="1" hidden="1">
      <c r="A53" s="132" t="s">
        <v>49</v>
      </c>
      <c r="B53" s="76" t="s">
        <v>47</v>
      </c>
      <c r="C53" s="84"/>
      <c r="D53" s="84"/>
      <c r="E53" s="86"/>
      <c r="F53" s="84"/>
      <c r="G53" s="84">
        <f>SUM(G48:G52)</f>
        <v>0</v>
      </c>
      <c r="H53" s="84" t="str">
        <f>IF(G53&lt;&gt;0,I53/G53,"?")</f>
        <v>?</v>
      </c>
      <c r="I53" s="84">
        <f>SUM(I48:I52)</f>
        <v>0</v>
      </c>
      <c r="J53" s="85">
        <f>SUM(I50:I52)</f>
        <v>0</v>
      </c>
      <c r="K53" s="44">
        <v>0.25</v>
      </c>
      <c r="L53" s="62">
        <f>J53/(1-K53)</f>
        <v>0</v>
      </c>
      <c r="M53" s="132" t="s">
        <v>49</v>
      </c>
      <c r="N53" s="87"/>
    </row>
    <row r="54" spans="1:14" ht="5.25" customHeight="1" hidden="1" thickBot="1">
      <c r="A54" s="131"/>
      <c r="B54" s="63"/>
      <c r="C54" s="64"/>
      <c r="D54" s="65"/>
      <c r="E54" s="66"/>
      <c r="F54" s="67"/>
      <c r="G54" s="67"/>
      <c r="H54" s="68"/>
      <c r="I54" s="16"/>
      <c r="J54" s="64"/>
      <c r="K54" s="69"/>
      <c r="L54" s="70"/>
      <c r="M54" s="131"/>
      <c r="N54" s="87"/>
    </row>
    <row r="55" spans="1:13" ht="24.75" customHeight="1">
      <c r="A55" s="129"/>
      <c r="B55" s="20" t="s">
        <v>129</v>
      </c>
      <c r="C55" s="210" t="s">
        <v>27</v>
      </c>
      <c r="D55" s="5"/>
      <c r="E55" s="214" t="s">
        <v>105</v>
      </c>
      <c r="F55" s="209" t="s">
        <v>76</v>
      </c>
      <c r="G55" s="212" t="s">
        <v>78</v>
      </c>
      <c r="H55" s="217" t="s">
        <v>106</v>
      </c>
      <c r="I55" s="39" t="s">
        <v>103</v>
      </c>
      <c r="J55" s="210" t="s">
        <v>93</v>
      </c>
      <c r="K55" s="34" t="s">
        <v>102</v>
      </c>
      <c r="L55" s="41" t="s">
        <v>81</v>
      </c>
      <c r="M55" s="129"/>
    </row>
    <row r="56" spans="1:13" ht="12" customHeight="1">
      <c r="A56" s="129"/>
      <c r="B56" s="73"/>
      <c r="C56" s="194"/>
      <c r="D56" s="89"/>
      <c r="E56" s="100">
        <f>$I$7</f>
        <v>20</v>
      </c>
      <c r="F56" s="101">
        <f>C56/E56</f>
        <v>0</v>
      </c>
      <c r="G56" s="101">
        <f>F56</f>
        <v>0</v>
      </c>
      <c r="H56" s="189">
        <v>1</v>
      </c>
      <c r="I56" s="89">
        <f>(G56*H56)</f>
        <v>0</v>
      </c>
      <c r="J56" s="89"/>
      <c r="K56" s="91"/>
      <c r="L56" s="92"/>
      <c r="M56" s="129"/>
    </row>
    <row r="57" spans="1:13" ht="12" customHeight="1">
      <c r="A57" s="129"/>
      <c r="B57" s="73" t="s">
        <v>126</v>
      </c>
      <c r="C57" s="194"/>
      <c r="D57" s="89"/>
      <c r="E57" s="100">
        <f>$I$7</f>
        <v>20</v>
      </c>
      <c r="F57" s="101">
        <f>C57/E57</f>
        <v>0</v>
      </c>
      <c r="G57" s="101">
        <f>F57</f>
        <v>0</v>
      </c>
      <c r="H57" s="189">
        <v>1</v>
      </c>
      <c r="I57" s="89">
        <f>(G57*H57)</f>
        <v>0</v>
      </c>
      <c r="J57" s="89"/>
      <c r="K57" s="91"/>
      <c r="L57" s="92"/>
      <c r="M57" s="129"/>
    </row>
    <row r="58" spans="1:13" ht="12" customHeight="1">
      <c r="A58" s="129"/>
      <c r="B58" s="73" t="s">
        <v>122</v>
      </c>
      <c r="C58" s="194"/>
      <c r="D58" s="89"/>
      <c r="E58" s="100">
        <f>$I$7</f>
        <v>20</v>
      </c>
      <c r="F58" s="101">
        <f>C58/E58</f>
        <v>0</v>
      </c>
      <c r="G58" s="101">
        <f>F58</f>
        <v>0</v>
      </c>
      <c r="H58" s="189">
        <v>1</v>
      </c>
      <c r="I58" s="89">
        <f>(G58*H58)</f>
        <v>0</v>
      </c>
      <c r="J58" s="89"/>
      <c r="K58" s="91" t="s">
        <v>107</v>
      </c>
      <c r="L58" s="92">
        <f>(J61-G61)*$K$7</f>
        <v>0</v>
      </c>
      <c r="M58" s="129"/>
    </row>
    <row r="59" spans="1:13" ht="12" customHeight="1" thickBot="1">
      <c r="A59" s="129"/>
      <c r="B59" s="73" t="s">
        <v>119</v>
      </c>
      <c r="C59" s="194"/>
      <c r="D59" s="89"/>
      <c r="E59" s="100">
        <f>$I$7</f>
        <v>20</v>
      </c>
      <c r="F59" s="101">
        <f>C59/E59</f>
        <v>0</v>
      </c>
      <c r="G59" s="101">
        <f>F59</f>
        <v>0</v>
      </c>
      <c r="H59" s="189">
        <v>1</v>
      </c>
      <c r="I59" s="89">
        <f>(G59*H59)</f>
        <v>0</v>
      </c>
      <c r="J59" s="89"/>
      <c r="K59" s="91" t="s">
        <v>118</v>
      </c>
      <c r="L59" s="92">
        <f>(L61-J61)*$K$7</f>
        <v>0</v>
      </c>
      <c r="M59" s="129"/>
    </row>
    <row r="60" spans="1:13" ht="12" customHeight="1">
      <c r="A60" s="129"/>
      <c r="B60" s="73" t="s">
        <v>128</v>
      </c>
      <c r="C60" s="194"/>
      <c r="D60" s="89"/>
      <c r="E60" s="100">
        <f>$I$7</f>
        <v>20</v>
      </c>
      <c r="F60" s="101">
        <f>C60/E60</f>
        <v>0</v>
      </c>
      <c r="G60" s="101">
        <f>F60</f>
        <v>0</v>
      </c>
      <c r="H60" s="189">
        <v>1</v>
      </c>
      <c r="I60" s="89">
        <f>(G60*H60)</f>
        <v>0</v>
      </c>
      <c r="J60" s="90"/>
      <c r="K60" s="93" t="s">
        <v>117</v>
      </c>
      <c r="L60" s="99">
        <f>IF(L12&lt;&gt;0,L61/L12,"?")</f>
        <v>0</v>
      </c>
      <c r="M60" s="129"/>
    </row>
    <row r="61" spans="1:13" ht="13.5" customHeight="1" thickBot="1">
      <c r="A61" s="130"/>
      <c r="B61" s="114" t="s">
        <v>132</v>
      </c>
      <c r="C61" s="115"/>
      <c r="D61" s="115"/>
      <c r="E61" s="116"/>
      <c r="F61" s="115"/>
      <c r="G61" s="117">
        <f>SUM(G56:G60)</f>
        <v>0</v>
      </c>
      <c r="H61" s="117">
        <f>IF(G61&lt;&gt;0,I61/G61,0)</f>
        <v>0</v>
      </c>
      <c r="I61" s="115">
        <f>SUM(I56:I60)</f>
        <v>0</v>
      </c>
      <c r="J61" s="118">
        <f>SUM(I56:I60)</f>
        <v>0</v>
      </c>
      <c r="K61" s="192">
        <v>0.25</v>
      </c>
      <c r="L61" s="119">
        <f>J61/(1-K61)</f>
        <v>0</v>
      </c>
      <c r="M61" s="130"/>
    </row>
    <row r="62" spans="1:13" ht="5.25" customHeight="1" thickBot="1">
      <c r="A62" s="138"/>
      <c r="B62" s="133"/>
      <c r="C62" s="134"/>
      <c r="D62" s="134"/>
      <c r="E62" s="134"/>
      <c r="F62" s="134"/>
      <c r="G62" s="134"/>
      <c r="H62" s="134"/>
      <c r="I62" s="134"/>
      <c r="J62" s="135"/>
      <c r="K62" s="134"/>
      <c r="L62" s="136"/>
      <c r="M62" s="138"/>
    </row>
    <row r="63" spans="1:13" ht="12.75">
      <c r="A63" s="7"/>
      <c r="B63" s="13"/>
      <c r="C63" s="3"/>
      <c r="D63" s="3"/>
      <c r="E63" s="3"/>
      <c r="F63" s="50"/>
      <c r="G63" s="3"/>
      <c r="H63" s="3"/>
      <c r="I63" s="6"/>
      <c r="J63" s="3"/>
      <c r="M63" s="7"/>
    </row>
    <row r="64" spans="1:13" ht="12.75">
      <c r="A64" s="8"/>
      <c r="B64" s="26"/>
      <c r="C64" s="199"/>
      <c r="D64" s="26"/>
      <c r="E64" s="26"/>
      <c r="F64" s="26"/>
      <c r="G64" s="26"/>
      <c r="H64" s="4"/>
      <c r="I64" s="4"/>
      <c r="J64" s="6"/>
      <c r="K64" s="4"/>
      <c r="L64" s="53"/>
      <c r="M64" s="8"/>
    </row>
    <row r="65" spans="1:13" ht="12.75">
      <c r="A65" s="8"/>
      <c r="B65" s="7"/>
      <c r="C65" s="12"/>
      <c r="D65" s="7"/>
      <c r="E65" s="7"/>
      <c r="G65" s="12"/>
      <c r="H65" s="7"/>
      <c r="I65" s="4"/>
      <c r="J65" s="6"/>
      <c r="K65" s="4"/>
      <c r="L65" s="54"/>
      <c r="M65" s="8"/>
    </row>
    <row r="66" spans="1:13" ht="13.5">
      <c r="A66" s="8"/>
      <c r="B66" s="7"/>
      <c r="C66" s="7"/>
      <c r="D66" s="7"/>
      <c r="E66" s="7"/>
      <c r="F66" s="7"/>
      <c r="G66" s="12"/>
      <c r="H66" s="4"/>
      <c r="I66" s="4"/>
      <c r="J66" s="6"/>
      <c r="K66" s="4"/>
      <c r="L66" s="53"/>
      <c r="M66" s="8"/>
    </row>
    <row r="67" spans="1:13" ht="13.5">
      <c r="A67" s="8"/>
      <c r="B67" s="7"/>
      <c r="C67" s="7"/>
      <c r="D67" s="7"/>
      <c r="E67" s="7"/>
      <c r="F67" s="7"/>
      <c r="G67" s="7"/>
      <c r="H67" s="8"/>
      <c r="I67" s="8"/>
      <c r="J67" s="8"/>
      <c r="K67" s="8"/>
      <c r="L67" s="8"/>
      <c r="M67" s="8"/>
    </row>
    <row r="68" spans="1:13" ht="13.5">
      <c r="A68" s="8"/>
      <c r="B68" s="7"/>
      <c r="C68" s="7"/>
      <c r="D68" s="7"/>
      <c r="E68" s="7"/>
      <c r="F68" s="7"/>
      <c r="G68" s="7"/>
      <c r="H68" s="8"/>
      <c r="I68" s="8"/>
      <c r="J68" s="8"/>
      <c r="K68" s="8"/>
      <c r="L68" s="8"/>
      <c r="M68" s="8"/>
    </row>
    <row r="69" spans="1:13" ht="13.5">
      <c r="A69" s="7"/>
      <c r="B69" s="8"/>
      <c r="C69" s="7"/>
      <c r="D69" s="7"/>
      <c r="E69" s="7"/>
      <c r="F69" s="7"/>
      <c r="G69" s="7"/>
      <c r="H69" s="7"/>
      <c r="I69" s="7"/>
      <c r="J69" s="7"/>
      <c r="K69" s="8"/>
      <c r="L69" s="7"/>
      <c r="M69" s="7"/>
    </row>
    <row r="70" spans="1:13" ht="13.5">
      <c r="A70" s="7"/>
      <c r="B70" s="8"/>
      <c r="C70" s="8"/>
      <c r="D70" s="8"/>
      <c r="E70" s="7"/>
      <c r="F70" s="7"/>
      <c r="G70" s="7"/>
      <c r="H70" s="7"/>
      <c r="I70" s="7"/>
      <c r="J70" s="7"/>
      <c r="K70" s="8"/>
      <c r="L70" s="7"/>
      <c r="M70" s="7"/>
    </row>
    <row r="71" spans="1:13" ht="13.5">
      <c r="A71" s="7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</row>
    <row r="72" spans="1:13" ht="13.5">
      <c r="A72" s="7"/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  <c r="M72" s="7"/>
    </row>
    <row r="73" spans="1:13" ht="13.5">
      <c r="A73" s="7"/>
      <c r="B73" s="7"/>
      <c r="C73" s="7"/>
      <c r="D73" s="7"/>
      <c r="E73" s="7"/>
      <c r="F73" s="7"/>
      <c r="G73" s="7"/>
      <c r="H73" s="8"/>
      <c r="I73" s="8"/>
      <c r="J73" s="7"/>
      <c r="K73" s="7"/>
      <c r="L73" s="7"/>
      <c r="M73" s="7"/>
    </row>
    <row r="74" spans="1:13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3.5">
      <c r="A75" s="7"/>
      <c r="B75" s="1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3.5">
      <c r="A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3.5">
      <c r="A80" s="7"/>
      <c r="B80" s="7"/>
      <c r="C80" s="26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3.5">
      <c r="A84" s="7"/>
      <c r="B84" s="11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3.5">
      <c r="A85" s="7"/>
      <c r="B85" s="7"/>
      <c r="C85" s="12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3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3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3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3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3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3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3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3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3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3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3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3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3.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3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3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3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3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3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3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3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3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3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3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3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3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3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3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3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3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3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3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3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3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3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3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3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</sheetData>
  <sheetProtection/>
  <mergeCells count="16">
    <mergeCell ref="F2:H2"/>
    <mergeCell ref="I2:J2"/>
    <mergeCell ref="C5:E5"/>
    <mergeCell ref="F5:L5"/>
    <mergeCell ref="C4:E4"/>
    <mergeCell ref="F4:L4"/>
    <mergeCell ref="N18:P23"/>
    <mergeCell ref="G6:H7"/>
    <mergeCell ref="B2:B3"/>
    <mergeCell ref="C2:E2"/>
    <mergeCell ref="B6:B7"/>
    <mergeCell ref="G8:L9"/>
    <mergeCell ref="K2:L2"/>
    <mergeCell ref="C3:E3"/>
    <mergeCell ref="F3:L3"/>
    <mergeCell ref="B4:B5"/>
  </mergeCells>
  <printOptions/>
  <pageMargins left="0.75" right="0.75" top="1" bottom="1" header="0.4921259845" footer="0.4921259845"/>
  <pageSetup fitToHeight="1" fitToWidth="1" horizontalDpi="600" verticalDpi="600" orientation="portrait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0"/>
  <sheetViews>
    <sheetView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O13" sqref="O13"/>
    </sheetView>
  </sheetViews>
  <sheetFormatPr defaultColWidth="9.140625" defaultRowHeight="12.75"/>
  <cols>
    <col min="1" max="1" width="0.71875" style="1" customWidth="1"/>
    <col min="2" max="2" width="28.28125" style="1" customWidth="1"/>
    <col min="3" max="7" width="8.7109375" style="1" customWidth="1"/>
    <col min="8" max="8" width="9.7109375" style="1" customWidth="1"/>
    <col min="9" max="11" width="8.7109375" style="1" customWidth="1"/>
    <col min="12" max="12" width="9.28125" style="1" customWidth="1"/>
    <col min="13" max="13" width="0.71875" style="1" customWidth="1"/>
    <col min="76" max="16384" width="9.140625" style="1" customWidth="1"/>
  </cols>
  <sheetData>
    <row r="1" spans="1:13" ht="5.25" customHeight="1" thickBot="1">
      <c r="A1" s="138"/>
      <c r="B1" s="133"/>
      <c r="C1" s="134"/>
      <c r="D1" s="134"/>
      <c r="E1" s="134"/>
      <c r="F1" s="134"/>
      <c r="G1" s="134"/>
      <c r="H1" s="134"/>
      <c r="I1" s="134"/>
      <c r="J1" s="135"/>
      <c r="K1" s="134"/>
      <c r="L1" s="136"/>
      <c r="M1" s="138"/>
    </row>
    <row r="2" spans="1:14" ht="15" customHeight="1">
      <c r="A2" s="128"/>
      <c r="B2" s="284"/>
      <c r="C2" s="239" t="s">
        <v>114</v>
      </c>
      <c r="D2" s="240"/>
      <c r="E2" s="241"/>
      <c r="F2" s="294" t="str">
        <f>Product!F2</f>
        <v>Kari Kolehmainen</v>
      </c>
      <c r="G2" s="295"/>
      <c r="H2" s="245"/>
      <c r="I2" s="233" t="s">
        <v>73</v>
      </c>
      <c r="J2" s="234"/>
      <c r="K2" s="286" t="str">
        <f>Product!K2</f>
        <v>22.1 2014</v>
      </c>
      <c r="L2" s="287"/>
      <c r="M2" s="128"/>
      <c r="N2" t="s">
        <v>31</v>
      </c>
    </row>
    <row r="3" spans="1:14" ht="15" customHeight="1">
      <c r="A3" s="123"/>
      <c r="B3" s="285"/>
      <c r="C3" s="288" t="s">
        <v>69</v>
      </c>
      <c r="D3" s="289"/>
      <c r="E3" s="290"/>
      <c r="F3" s="291">
        <f>Product!F3</f>
        <v>0</v>
      </c>
      <c r="G3" s="292"/>
      <c r="H3" s="292"/>
      <c r="I3" s="292"/>
      <c r="J3" s="292"/>
      <c r="K3" s="292"/>
      <c r="L3" s="293"/>
      <c r="M3" s="123"/>
      <c r="N3" t="s">
        <v>30</v>
      </c>
    </row>
    <row r="4" spans="1:14" ht="15" customHeight="1">
      <c r="A4" s="129"/>
      <c r="B4" s="273" t="s">
        <v>67</v>
      </c>
      <c r="C4" s="288" t="s">
        <v>70</v>
      </c>
      <c r="D4" s="289"/>
      <c r="E4" s="290"/>
      <c r="F4" s="291" t="s">
        <v>140</v>
      </c>
      <c r="G4" s="292"/>
      <c r="H4" s="292"/>
      <c r="I4" s="292"/>
      <c r="J4" s="292"/>
      <c r="K4" s="292"/>
      <c r="L4" s="293"/>
      <c r="M4" s="129"/>
      <c r="N4" t="s">
        <v>59</v>
      </c>
    </row>
    <row r="5" spans="1:14" ht="15" customHeight="1" thickBot="1">
      <c r="A5" s="129"/>
      <c r="B5" s="273"/>
      <c r="C5" s="288"/>
      <c r="D5" s="289"/>
      <c r="E5" s="290"/>
      <c r="F5" s="296" t="s">
        <v>141</v>
      </c>
      <c r="G5" s="297"/>
      <c r="H5" s="297"/>
      <c r="I5" s="297"/>
      <c r="J5" s="297"/>
      <c r="K5" s="297"/>
      <c r="L5" s="298"/>
      <c r="M5" s="129"/>
      <c r="N5" s="187" t="s">
        <v>58</v>
      </c>
    </row>
    <row r="6" spans="1:14" ht="12.75" customHeight="1">
      <c r="A6" s="129"/>
      <c r="B6" s="273" t="s">
        <v>74</v>
      </c>
      <c r="C6" s="79" t="s">
        <v>71</v>
      </c>
      <c r="D6" s="77"/>
      <c r="E6" s="77"/>
      <c r="F6" s="197" t="s">
        <v>90</v>
      </c>
      <c r="G6" s="277"/>
      <c r="H6" s="278"/>
      <c r="I6" s="174" t="s">
        <v>98</v>
      </c>
      <c r="J6" s="113"/>
      <c r="K6" s="176" t="s">
        <v>99</v>
      </c>
      <c r="L6" s="176" t="s">
        <v>100</v>
      </c>
      <c r="M6" s="129"/>
      <c r="N6" t="s">
        <v>32</v>
      </c>
    </row>
    <row r="7" spans="1:14" ht="12.75" customHeight="1" thickBot="1">
      <c r="A7" s="129"/>
      <c r="B7" s="273"/>
      <c r="C7" s="80"/>
      <c r="D7" s="78"/>
      <c r="E7" s="78"/>
      <c r="F7" s="198" t="s">
        <v>50</v>
      </c>
      <c r="G7" s="279"/>
      <c r="H7" s="280"/>
      <c r="I7" s="185">
        <v>20</v>
      </c>
      <c r="J7" s="177" t="s">
        <v>56</v>
      </c>
      <c r="K7" s="196">
        <v>10</v>
      </c>
      <c r="L7" s="195">
        <v>10</v>
      </c>
      <c r="M7" s="129"/>
      <c r="N7" t="s">
        <v>33</v>
      </c>
    </row>
    <row r="8" spans="1:13" ht="19.5" customHeight="1" thickBot="1">
      <c r="A8" s="129"/>
      <c r="B8" s="27"/>
      <c r="C8" s="14"/>
      <c r="D8" s="55"/>
      <c r="E8" s="82"/>
      <c r="F8" s="48"/>
      <c r="G8" s="269" t="s">
        <v>112</v>
      </c>
      <c r="H8" s="269"/>
      <c r="I8" s="269"/>
      <c r="J8" s="269"/>
      <c r="K8" s="269"/>
      <c r="L8" s="270"/>
      <c r="M8" s="129"/>
    </row>
    <row r="9" spans="1:13" ht="19.5" customHeight="1" thickBot="1">
      <c r="A9" s="129"/>
      <c r="B9" s="15"/>
      <c r="C9" s="63"/>
      <c r="D9" s="72"/>
      <c r="E9" s="215" t="s">
        <v>110</v>
      </c>
      <c r="F9" s="221">
        <v>1</v>
      </c>
      <c r="G9" s="271"/>
      <c r="H9" s="271"/>
      <c r="I9" s="271"/>
      <c r="J9" s="271"/>
      <c r="K9" s="271"/>
      <c r="L9" s="272"/>
      <c r="M9" s="129"/>
    </row>
    <row r="10" spans="1:13" ht="5.25" customHeight="1" thickBot="1">
      <c r="A10" s="129"/>
      <c r="B10" s="124"/>
      <c r="C10" s="125"/>
      <c r="D10" s="121"/>
      <c r="E10" s="125"/>
      <c r="F10" s="121"/>
      <c r="G10" s="121"/>
      <c r="H10" s="125"/>
      <c r="I10" s="121"/>
      <c r="J10" s="125"/>
      <c r="K10" s="126"/>
      <c r="L10" s="127"/>
      <c r="M10" s="129"/>
    </row>
    <row r="11" spans="1:13" ht="24.75" customHeight="1" thickBot="1">
      <c r="A11" s="129"/>
      <c r="B11" s="17" t="s">
        <v>85</v>
      </c>
      <c r="C11" s="18"/>
      <c r="D11" s="19"/>
      <c r="E11" s="213" t="s">
        <v>109</v>
      </c>
      <c r="F11" s="216" t="s">
        <v>89</v>
      </c>
      <c r="G11" s="21" t="s">
        <v>95</v>
      </c>
      <c r="H11" s="213" t="s">
        <v>107</v>
      </c>
      <c r="I11" s="216" t="s">
        <v>108</v>
      </c>
      <c r="J11" s="213" t="s">
        <v>93</v>
      </c>
      <c r="K11" s="22" t="s">
        <v>101</v>
      </c>
      <c r="L11" s="23" t="s">
        <v>81</v>
      </c>
      <c r="M11" s="129"/>
    </row>
    <row r="12" spans="1:13" ht="13.5" customHeight="1" thickBot="1">
      <c r="A12" s="130"/>
      <c r="B12" s="14"/>
      <c r="C12" s="2"/>
      <c r="D12" s="3"/>
      <c r="E12" s="102">
        <f>IF($E$45&lt;&gt;0,(60/$E$45*(L12-J12)),0)</f>
        <v>29.633132010353755</v>
      </c>
      <c r="F12" s="103">
        <f>(E45/60)*$I$7</f>
        <v>2.033333333333333</v>
      </c>
      <c r="G12" s="111">
        <f>G21+G28+G45+G53+G61</f>
        <v>5.053333333333334</v>
      </c>
      <c r="H12" s="104">
        <f>(J12-G12)*$K$7</f>
        <v>1.0799999999999965</v>
      </c>
      <c r="I12" s="104">
        <f>(L12-J12)*$K$7</f>
        <v>30.12701754385965</v>
      </c>
      <c r="J12" s="105">
        <f>SUM(J17:J61)</f>
        <v>5.161333333333333</v>
      </c>
      <c r="K12" s="106">
        <f>IF(L12&lt;&gt;0,(L12-J12)/L12,0)</f>
        <v>0.3685697115384616</v>
      </c>
      <c r="L12" s="107">
        <f>L21+L28+L45+L53+L61</f>
        <v>8.174035087719298</v>
      </c>
      <c r="M12" s="130"/>
    </row>
    <row r="13" spans="1:13" ht="13.5" thickBot="1">
      <c r="A13" s="129"/>
      <c r="B13" s="13"/>
      <c r="C13" s="2"/>
      <c r="D13" s="3"/>
      <c r="E13" s="3"/>
      <c r="F13" s="3"/>
      <c r="G13" s="3"/>
      <c r="H13" s="3"/>
      <c r="I13" s="3"/>
      <c r="J13" s="3"/>
      <c r="K13" s="3"/>
      <c r="L13" s="108" t="s">
        <v>94</v>
      </c>
      <c r="M13" s="129"/>
    </row>
    <row r="14" spans="1:13" ht="13.5" thickBot="1">
      <c r="A14" s="129"/>
      <c r="B14" s="15"/>
      <c r="C14" s="71"/>
      <c r="D14" s="16"/>
      <c r="E14" s="102">
        <f>IF($E$45&lt;&gt;0,(60/$E$45*(L14-J12)),0)</f>
        <v>29.59344262295082</v>
      </c>
      <c r="F14" s="56"/>
      <c r="G14" s="112">
        <f>G12</f>
        <v>5.053333333333334</v>
      </c>
      <c r="H14" s="57"/>
      <c r="I14" s="104">
        <f>(L14-J12)*$K$7</f>
        <v>30.086666666666666</v>
      </c>
      <c r="J14" s="58"/>
      <c r="K14" s="106">
        <f>IF(L14&lt;&gt;0,(L14-J12)/L14,"?")</f>
        <v>0.3682578539371685</v>
      </c>
      <c r="L14" s="188">
        <v>8.17</v>
      </c>
      <c r="M14" s="129"/>
    </row>
    <row r="15" spans="1:13" ht="5.25" customHeight="1" thickBot="1">
      <c r="A15" s="129"/>
      <c r="B15" s="120"/>
      <c r="C15" s="121"/>
      <c r="D15" s="121"/>
      <c r="E15" s="121"/>
      <c r="F15" s="121"/>
      <c r="G15" s="121"/>
      <c r="H15" s="121"/>
      <c r="I15" s="121"/>
      <c r="J15" s="122"/>
      <c r="K15" s="121"/>
      <c r="L15" s="123"/>
      <c r="M15" s="129"/>
    </row>
    <row r="16" spans="1:13" ht="22.5" customHeight="1">
      <c r="A16" s="129"/>
      <c r="B16" s="24" t="s">
        <v>82</v>
      </c>
      <c r="C16" s="210" t="s">
        <v>63</v>
      </c>
      <c r="D16" s="210" t="s">
        <v>64</v>
      </c>
      <c r="E16" s="211" t="s">
        <v>75</v>
      </c>
      <c r="F16" s="210" t="s">
        <v>76</v>
      </c>
      <c r="G16" s="212" t="s">
        <v>78</v>
      </c>
      <c r="H16" s="217" t="s">
        <v>106</v>
      </c>
      <c r="I16" s="32" t="s">
        <v>80</v>
      </c>
      <c r="J16" s="33" t="s">
        <v>93</v>
      </c>
      <c r="K16" s="161"/>
      <c r="L16" s="163" t="s">
        <v>81</v>
      </c>
      <c r="M16" s="129"/>
    </row>
    <row r="17" spans="1:13" ht="12" customHeight="1" thickBot="1">
      <c r="A17" s="129"/>
      <c r="B17" s="73" t="s">
        <v>142</v>
      </c>
      <c r="C17" s="29">
        <v>1.1</v>
      </c>
      <c r="D17" s="29">
        <v>0.9</v>
      </c>
      <c r="E17" s="226">
        <v>1</v>
      </c>
      <c r="F17" s="189">
        <f>D17*C17</f>
        <v>0.9900000000000001</v>
      </c>
      <c r="G17" s="101">
        <f>(E17*F17)</f>
        <v>0.9900000000000001</v>
      </c>
      <c r="H17" s="189">
        <v>1.05</v>
      </c>
      <c r="I17" s="89">
        <f>(G17*H17)</f>
        <v>1.0395</v>
      </c>
      <c r="J17" s="89"/>
      <c r="K17" s="89"/>
      <c r="L17" s="98"/>
      <c r="M17" s="129"/>
    </row>
    <row r="18" spans="1:16" ht="12" customHeight="1">
      <c r="A18" s="129"/>
      <c r="B18" s="73"/>
      <c r="C18" s="29"/>
      <c r="D18" s="29"/>
      <c r="E18" s="226"/>
      <c r="F18" s="189"/>
      <c r="G18" s="101">
        <f>(E18*F18)</f>
        <v>0</v>
      </c>
      <c r="H18" s="189">
        <v>1.05</v>
      </c>
      <c r="I18" s="89">
        <f>(G18*H18)</f>
        <v>0</v>
      </c>
      <c r="J18" s="89"/>
      <c r="K18" s="91" t="s">
        <v>107</v>
      </c>
      <c r="L18" s="92">
        <f>(J21-G21)*$K$7</f>
        <v>1.080000000000001</v>
      </c>
      <c r="M18" s="129"/>
      <c r="N18" s="281" t="s">
        <v>55</v>
      </c>
      <c r="O18" s="259"/>
      <c r="P18" s="260"/>
    </row>
    <row r="19" spans="1:16" ht="12" customHeight="1" thickBot="1">
      <c r="A19" s="129"/>
      <c r="B19" s="73" t="s">
        <v>165</v>
      </c>
      <c r="C19" s="29">
        <v>1.3</v>
      </c>
      <c r="D19" s="29">
        <v>0.9</v>
      </c>
      <c r="E19" s="226">
        <v>1</v>
      </c>
      <c r="F19" s="189">
        <f>D19*C19</f>
        <v>1.1700000000000002</v>
      </c>
      <c r="G19" s="101">
        <f>(E19*F19)</f>
        <v>1.1700000000000002</v>
      </c>
      <c r="H19" s="189">
        <v>1.05</v>
      </c>
      <c r="I19" s="89">
        <f>(G19*H19)</f>
        <v>1.2285000000000001</v>
      </c>
      <c r="J19" s="89"/>
      <c r="K19" s="91" t="s">
        <v>118</v>
      </c>
      <c r="L19" s="92">
        <f>(L21-J21)*$K$7</f>
        <v>1.1936842105263157</v>
      </c>
      <c r="M19" s="129"/>
      <c r="N19" s="282"/>
      <c r="O19" s="261"/>
      <c r="P19" s="262"/>
    </row>
    <row r="20" spans="1:16" ht="12" customHeight="1">
      <c r="A20" s="129"/>
      <c r="B20" s="74"/>
      <c r="C20" s="30"/>
      <c r="D20" s="30"/>
      <c r="E20" s="226"/>
      <c r="F20" s="190"/>
      <c r="G20" s="101">
        <f>(E20*F20)</f>
        <v>0</v>
      </c>
      <c r="H20" s="191">
        <v>1.05</v>
      </c>
      <c r="I20" s="89">
        <f>(G20*H20)</f>
        <v>0</v>
      </c>
      <c r="J20" s="90"/>
      <c r="K20" s="93" t="s">
        <v>117</v>
      </c>
      <c r="L20" s="95">
        <f>IF(L12&lt;&gt;0,L21/L12,"?")</f>
        <v>0.2920673076923077</v>
      </c>
      <c r="M20" s="129"/>
      <c r="N20" s="282"/>
      <c r="O20" s="261"/>
      <c r="P20" s="262"/>
    </row>
    <row r="21" spans="1:16" ht="13.5" customHeight="1" thickBot="1">
      <c r="A21" s="130"/>
      <c r="B21" s="140" t="s">
        <v>88</v>
      </c>
      <c r="C21" s="141"/>
      <c r="D21" s="141"/>
      <c r="E21" s="141"/>
      <c r="F21" s="141"/>
      <c r="G21" s="160">
        <f>SUM(G17:G20)</f>
        <v>2.16</v>
      </c>
      <c r="H21" s="160">
        <f>IF(G21&lt;&gt;0,I21/G21,0)</f>
        <v>1.05</v>
      </c>
      <c r="I21" s="141">
        <f>SUM(I17:I20)</f>
        <v>2.2680000000000002</v>
      </c>
      <c r="J21" s="142">
        <f>SUM(I17:I20)</f>
        <v>2.2680000000000002</v>
      </c>
      <c r="K21" s="193">
        <v>0.05</v>
      </c>
      <c r="L21" s="143">
        <f>J21/(1-K21)</f>
        <v>2.387368421052632</v>
      </c>
      <c r="M21" s="130"/>
      <c r="N21" s="282"/>
      <c r="O21" s="261"/>
      <c r="P21" s="262"/>
    </row>
    <row r="22" spans="1:16" ht="5.25" customHeight="1" thickBot="1">
      <c r="A22" s="129"/>
      <c r="B22" s="147"/>
      <c r="C22" s="56"/>
      <c r="D22" s="56"/>
      <c r="E22" s="148"/>
      <c r="F22" s="56"/>
      <c r="G22" s="149"/>
      <c r="H22" s="149"/>
      <c r="I22" s="105"/>
      <c r="J22" s="56"/>
      <c r="K22" s="150"/>
      <c r="L22" s="151"/>
      <c r="M22" s="129"/>
      <c r="N22" s="282"/>
      <c r="O22" s="261"/>
      <c r="P22" s="262"/>
    </row>
    <row r="23" spans="1:16" ht="24.75" customHeight="1" thickBot="1">
      <c r="A23" s="129"/>
      <c r="B23" s="24" t="s">
        <v>84</v>
      </c>
      <c r="C23" s="210" t="s">
        <v>34</v>
      </c>
      <c r="D23" s="210" t="s">
        <v>35</v>
      </c>
      <c r="E23" s="211" t="s">
        <v>75</v>
      </c>
      <c r="F23" s="210" t="s">
        <v>76</v>
      </c>
      <c r="G23" s="212" t="s">
        <v>78</v>
      </c>
      <c r="H23" s="217" t="s">
        <v>106</v>
      </c>
      <c r="I23" s="32" t="s">
        <v>79</v>
      </c>
      <c r="J23" s="211" t="s">
        <v>93</v>
      </c>
      <c r="K23" s="161"/>
      <c r="L23" s="163" t="s">
        <v>81</v>
      </c>
      <c r="M23" s="129"/>
      <c r="N23" s="283"/>
      <c r="O23" s="263"/>
      <c r="P23" s="264"/>
    </row>
    <row r="24" spans="1:16" ht="12" customHeight="1">
      <c r="A24" s="129"/>
      <c r="B24" s="73"/>
      <c r="C24" s="29"/>
      <c r="D24" s="29"/>
      <c r="E24" s="226"/>
      <c r="F24" s="189"/>
      <c r="G24" s="101">
        <f>(E24*F24)</f>
        <v>0</v>
      </c>
      <c r="H24" s="189">
        <v>1.05</v>
      </c>
      <c r="I24" s="89">
        <f>(G24*H24)</f>
        <v>0</v>
      </c>
      <c r="J24" s="89"/>
      <c r="K24" s="91"/>
      <c r="L24" s="92"/>
      <c r="M24" s="129"/>
      <c r="N24" s="38"/>
      <c r="O24" s="38"/>
      <c r="P24" s="38"/>
    </row>
    <row r="25" spans="1:16" ht="12" customHeight="1">
      <c r="A25" s="129"/>
      <c r="B25" s="73"/>
      <c r="C25" s="29"/>
      <c r="D25" s="29"/>
      <c r="E25" s="226"/>
      <c r="F25" s="189"/>
      <c r="G25" s="101">
        <f>(E25*F25)</f>
        <v>0</v>
      </c>
      <c r="H25" s="189">
        <v>1.08</v>
      </c>
      <c r="I25" s="89">
        <f>(G25*H25)</f>
        <v>0</v>
      </c>
      <c r="J25" s="89"/>
      <c r="K25" s="91" t="s">
        <v>107</v>
      </c>
      <c r="L25" s="92">
        <f>(J28-G28)*$K$7</f>
        <v>0</v>
      </c>
      <c r="M25" s="129"/>
      <c r="N25" s="38"/>
      <c r="O25" s="38"/>
      <c r="P25" s="38"/>
    </row>
    <row r="26" spans="1:16" ht="12" customHeight="1" thickBot="1">
      <c r="A26" s="129"/>
      <c r="B26" s="73"/>
      <c r="C26" s="29"/>
      <c r="D26" s="29"/>
      <c r="E26" s="226"/>
      <c r="F26" s="189"/>
      <c r="G26" s="101">
        <f>(E26*F26)</f>
        <v>0</v>
      </c>
      <c r="H26" s="189">
        <v>1.08</v>
      </c>
      <c r="I26" s="89">
        <f>(G26*H26)</f>
        <v>0</v>
      </c>
      <c r="J26" s="89"/>
      <c r="K26" s="91" t="s">
        <v>118</v>
      </c>
      <c r="L26" s="92">
        <f>(L28-J28)*$K$7</f>
        <v>0</v>
      </c>
      <c r="M26" s="129"/>
      <c r="N26" s="38"/>
      <c r="O26" s="38"/>
      <c r="P26" s="38"/>
    </row>
    <row r="27" spans="1:16" ht="12" customHeight="1">
      <c r="A27" s="129"/>
      <c r="B27" s="73"/>
      <c r="C27" s="29"/>
      <c r="D27" s="29"/>
      <c r="E27" s="226"/>
      <c r="F27" s="189"/>
      <c r="G27" s="101">
        <f>(E27*F27)</f>
        <v>0</v>
      </c>
      <c r="H27" s="189">
        <v>1.08</v>
      </c>
      <c r="I27" s="89">
        <f>(G27*H27)</f>
        <v>0</v>
      </c>
      <c r="J27" s="90"/>
      <c r="K27" s="93" t="s">
        <v>117</v>
      </c>
      <c r="L27" s="99">
        <f>IF(L12&lt;&gt;0,L28/L12,"?")</f>
        <v>0</v>
      </c>
      <c r="M27" s="129"/>
      <c r="N27" s="38"/>
      <c r="O27" s="38"/>
      <c r="P27" s="38"/>
    </row>
    <row r="28" spans="1:13" ht="13.5" customHeight="1" thickBot="1">
      <c r="A28" s="130"/>
      <c r="B28" s="140" t="s">
        <v>120</v>
      </c>
      <c r="C28" s="141"/>
      <c r="D28" s="141"/>
      <c r="E28" s="141"/>
      <c r="F28" s="141"/>
      <c r="G28" s="160">
        <f>SUM(G24:G27)</f>
        <v>0</v>
      </c>
      <c r="H28" s="160">
        <f>IF(G28&lt;&gt;0,I28/G28,0)</f>
        <v>0</v>
      </c>
      <c r="I28" s="141">
        <f>SUM(I24:I27)</f>
        <v>0</v>
      </c>
      <c r="J28" s="142">
        <f>SUM(I24:I27)</f>
        <v>0</v>
      </c>
      <c r="K28" s="193">
        <v>0.05</v>
      </c>
      <c r="L28" s="143">
        <f>J28/(1-K28)</f>
        <v>0</v>
      </c>
      <c r="M28" s="130"/>
    </row>
    <row r="29" spans="1:13" ht="5.25" customHeight="1" thickBot="1">
      <c r="A29" s="129"/>
      <c r="B29" s="17"/>
      <c r="C29" s="56"/>
      <c r="D29" s="56"/>
      <c r="E29" s="148"/>
      <c r="F29" s="56"/>
      <c r="G29" s="149"/>
      <c r="H29" s="152"/>
      <c r="I29" s="58"/>
      <c r="J29" s="56"/>
      <c r="K29" s="150"/>
      <c r="L29" s="153"/>
      <c r="M29" s="129"/>
    </row>
    <row r="30" spans="1:13" ht="24.75" customHeight="1">
      <c r="A30" s="129"/>
      <c r="B30" s="24" t="s">
        <v>83</v>
      </c>
      <c r="C30" s="210" t="s">
        <v>77</v>
      </c>
      <c r="D30" s="210" t="s">
        <v>26</v>
      </c>
      <c r="E30" s="211" t="s">
        <v>121</v>
      </c>
      <c r="F30" s="210" t="s">
        <v>25</v>
      </c>
      <c r="G30" s="31" t="s">
        <v>78</v>
      </c>
      <c r="H30" s="217" t="s">
        <v>106</v>
      </c>
      <c r="I30" s="210" t="s">
        <v>76</v>
      </c>
      <c r="J30" s="211" t="s">
        <v>93</v>
      </c>
      <c r="K30" s="34" t="s">
        <v>102</v>
      </c>
      <c r="L30" s="35" t="s">
        <v>81</v>
      </c>
      <c r="M30" s="129"/>
    </row>
    <row r="31" spans="1:13" ht="12" customHeight="1">
      <c r="A31" s="129"/>
      <c r="B31" s="73" t="s">
        <v>143</v>
      </c>
      <c r="C31" s="226">
        <v>2</v>
      </c>
      <c r="D31" s="189">
        <v>1</v>
      </c>
      <c r="E31" s="96">
        <f aca="true" t="shared" si="0" ref="E31:E44">C31*D31</f>
        <v>2</v>
      </c>
      <c r="F31" s="189">
        <v>28</v>
      </c>
      <c r="G31" s="101">
        <f aca="true" t="shared" si="1" ref="G31:G44">E31/60*F31</f>
        <v>0.9333333333333333</v>
      </c>
      <c r="H31" s="189">
        <v>1</v>
      </c>
      <c r="I31" s="89">
        <f aca="true" t="shared" si="2" ref="I31:I44">(G31*H31)</f>
        <v>0.9333333333333333</v>
      </c>
      <c r="J31" s="89"/>
      <c r="K31" s="97"/>
      <c r="L31" s="98"/>
      <c r="M31" s="129"/>
    </row>
    <row r="32" spans="1:13" ht="12" customHeight="1">
      <c r="A32" s="129"/>
      <c r="B32" s="73" t="s">
        <v>166</v>
      </c>
      <c r="C32" s="226">
        <v>1</v>
      </c>
      <c r="D32" s="189">
        <f>8/10</f>
        <v>0.8</v>
      </c>
      <c r="E32" s="96">
        <f t="shared" si="0"/>
        <v>0.8</v>
      </c>
      <c r="F32" s="189">
        <v>28</v>
      </c>
      <c r="G32" s="101">
        <f>E32/60*F32</f>
        <v>0.37333333333333335</v>
      </c>
      <c r="H32" s="189">
        <v>1</v>
      </c>
      <c r="I32" s="89">
        <f t="shared" si="2"/>
        <v>0.37333333333333335</v>
      </c>
      <c r="J32" s="89"/>
      <c r="K32" s="97"/>
      <c r="L32" s="98"/>
      <c r="M32" s="129"/>
    </row>
    <row r="33" spans="1:13" ht="12" customHeight="1">
      <c r="A33" s="129"/>
      <c r="B33" s="73"/>
      <c r="C33" s="226"/>
      <c r="D33" s="189"/>
      <c r="E33" s="96">
        <f t="shared" si="0"/>
        <v>0</v>
      </c>
      <c r="F33" s="189"/>
      <c r="G33" s="101">
        <f t="shared" si="1"/>
        <v>0</v>
      </c>
      <c r="H33" s="189">
        <v>1</v>
      </c>
      <c r="I33" s="89">
        <f t="shared" si="2"/>
        <v>0</v>
      </c>
      <c r="J33" s="89"/>
      <c r="K33" s="97"/>
      <c r="L33" s="98"/>
      <c r="M33" s="129"/>
    </row>
    <row r="34" spans="1:13" ht="12" customHeight="1">
      <c r="A34" s="129"/>
      <c r="B34" s="73" t="s">
        <v>5</v>
      </c>
      <c r="C34" s="226">
        <v>1</v>
      </c>
      <c r="D34" s="189">
        <v>1</v>
      </c>
      <c r="E34" s="96">
        <f t="shared" si="0"/>
        <v>1</v>
      </c>
      <c r="F34" s="189">
        <v>30</v>
      </c>
      <c r="G34" s="101">
        <f t="shared" si="1"/>
        <v>0.5</v>
      </c>
      <c r="H34" s="189">
        <v>1</v>
      </c>
      <c r="I34" s="89">
        <f t="shared" si="2"/>
        <v>0.5</v>
      </c>
      <c r="J34" s="89"/>
      <c r="K34" s="97"/>
      <c r="L34" s="98"/>
      <c r="M34" s="129"/>
    </row>
    <row r="35" spans="1:13" ht="12" customHeight="1">
      <c r="A35" s="129"/>
      <c r="B35" s="227" t="s">
        <v>144</v>
      </c>
      <c r="C35" s="226">
        <v>1</v>
      </c>
      <c r="D35" s="189">
        <f>8/K7</f>
        <v>0.8</v>
      </c>
      <c r="E35" s="96">
        <f t="shared" si="0"/>
        <v>0.8</v>
      </c>
      <c r="F35" s="189">
        <v>29</v>
      </c>
      <c r="G35" s="101">
        <f t="shared" si="1"/>
        <v>0.3866666666666667</v>
      </c>
      <c r="H35" s="189">
        <v>1</v>
      </c>
      <c r="I35" s="89">
        <f t="shared" si="2"/>
        <v>0.3866666666666667</v>
      </c>
      <c r="J35" s="89"/>
      <c r="K35" s="97"/>
      <c r="L35" s="98"/>
      <c r="M35" s="129"/>
    </row>
    <row r="36" spans="1:13" ht="12" customHeight="1">
      <c r="A36" s="129"/>
      <c r="B36" s="73"/>
      <c r="C36" s="226"/>
      <c r="D36" s="189"/>
      <c r="E36" s="96">
        <f t="shared" si="0"/>
        <v>0</v>
      </c>
      <c r="F36" s="189"/>
      <c r="G36" s="101">
        <f t="shared" si="1"/>
        <v>0</v>
      </c>
      <c r="H36" s="189">
        <v>1</v>
      </c>
      <c r="I36" s="89">
        <f t="shared" si="2"/>
        <v>0</v>
      </c>
      <c r="J36" s="89"/>
      <c r="K36" s="97"/>
      <c r="L36" s="98"/>
      <c r="M36" s="129"/>
    </row>
    <row r="37" spans="1:13" ht="12" customHeight="1">
      <c r="A37" s="129"/>
      <c r="B37" s="73" t="s">
        <v>167</v>
      </c>
      <c r="C37" s="226">
        <v>2</v>
      </c>
      <c r="D37" s="189">
        <v>0.5</v>
      </c>
      <c r="E37" s="96">
        <f t="shared" si="0"/>
        <v>1</v>
      </c>
      <c r="F37" s="189">
        <v>28</v>
      </c>
      <c r="G37" s="101">
        <f t="shared" si="1"/>
        <v>0.4666666666666667</v>
      </c>
      <c r="H37" s="189">
        <v>1</v>
      </c>
      <c r="I37" s="89">
        <f t="shared" si="2"/>
        <v>0.4666666666666667</v>
      </c>
      <c r="J37" s="89"/>
      <c r="K37" s="97"/>
      <c r="L37" s="98"/>
      <c r="M37" s="129"/>
    </row>
    <row r="38" spans="1:13" ht="12" customHeight="1">
      <c r="A38" s="129"/>
      <c r="B38" s="73" t="s">
        <v>168</v>
      </c>
      <c r="C38" s="226">
        <v>1</v>
      </c>
      <c r="D38" s="189">
        <f>5/10</f>
        <v>0.5</v>
      </c>
      <c r="E38" s="96">
        <f t="shared" si="0"/>
        <v>0.5</v>
      </c>
      <c r="F38" s="189">
        <v>28</v>
      </c>
      <c r="G38" s="101">
        <f t="shared" si="1"/>
        <v>0.23333333333333334</v>
      </c>
      <c r="H38" s="189">
        <v>1</v>
      </c>
      <c r="I38" s="89">
        <f t="shared" si="2"/>
        <v>0.23333333333333334</v>
      </c>
      <c r="J38" s="89"/>
      <c r="K38" s="97"/>
      <c r="L38" s="98"/>
      <c r="M38" s="129"/>
    </row>
    <row r="39" spans="1:13" ht="12" customHeight="1">
      <c r="A39" s="129"/>
      <c r="B39" s="73"/>
      <c r="C39" s="226"/>
      <c r="D39" s="189"/>
      <c r="E39" s="96">
        <f t="shared" si="0"/>
        <v>0</v>
      </c>
      <c r="F39" s="189"/>
      <c r="G39" s="101">
        <f t="shared" si="1"/>
        <v>0</v>
      </c>
      <c r="H39" s="189">
        <v>1</v>
      </c>
      <c r="I39" s="89">
        <f t="shared" si="2"/>
        <v>0</v>
      </c>
      <c r="J39" s="89"/>
      <c r="K39" s="97"/>
      <c r="L39" s="98"/>
      <c r="M39" s="129"/>
    </row>
    <row r="40" spans="1:13" ht="12" customHeight="1">
      <c r="A40" s="129"/>
      <c r="B40" s="73"/>
      <c r="C40" s="226"/>
      <c r="D40" s="189"/>
      <c r="E40" s="96">
        <f t="shared" si="0"/>
        <v>0</v>
      </c>
      <c r="F40" s="189"/>
      <c r="G40" s="101">
        <f t="shared" si="1"/>
        <v>0</v>
      </c>
      <c r="H40" s="189">
        <v>1</v>
      </c>
      <c r="I40" s="89">
        <f t="shared" si="2"/>
        <v>0</v>
      </c>
      <c r="J40" s="89"/>
      <c r="K40" s="97"/>
      <c r="L40" s="98"/>
      <c r="M40" s="129"/>
    </row>
    <row r="41" spans="1:13" ht="12" customHeight="1">
      <c r="A41" s="129"/>
      <c r="B41" s="73"/>
      <c r="C41" s="226"/>
      <c r="D41" s="189"/>
      <c r="E41" s="96">
        <f t="shared" si="0"/>
        <v>0</v>
      </c>
      <c r="F41" s="189"/>
      <c r="G41" s="101">
        <f t="shared" si="1"/>
        <v>0</v>
      </c>
      <c r="H41" s="189">
        <v>1</v>
      </c>
      <c r="I41" s="89">
        <f t="shared" si="2"/>
        <v>0</v>
      </c>
      <c r="J41" s="89"/>
      <c r="K41" s="97"/>
      <c r="L41" s="98"/>
      <c r="M41" s="129"/>
    </row>
    <row r="42" spans="1:13" ht="12" customHeight="1">
      <c r="A42" s="129"/>
      <c r="B42" s="73"/>
      <c r="C42" s="226"/>
      <c r="D42" s="189"/>
      <c r="E42" s="96">
        <f t="shared" si="0"/>
        <v>0</v>
      </c>
      <c r="F42" s="189"/>
      <c r="G42" s="101">
        <f t="shared" si="1"/>
        <v>0</v>
      </c>
      <c r="H42" s="189">
        <v>1</v>
      </c>
      <c r="I42" s="89">
        <f t="shared" si="2"/>
        <v>0</v>
      </c>
      <c r="J42" s="89"/>
      <c r="K42" s="91" t="s">
        <v>107</v>
      </c>
      <c r="L42" s="92">
        <f>(J45-G45)*$K$7</f>
        <v>0</v>
      </c>
      <c r="M42" s="129"/>
    </row>
    <row r="43" spans="1:13" ht="12" customHeight="1" thickBot="1">
      <c r="A43" s="129"/>
      <c r="B43" s="73"/>
      <c r="C43" s="226"/>
      <c r="D43" s="189"/>
      <c r="E43" s="96">
        <f t="shared" si="0"/>
        <v>0</v>
      </c>
      <c r="F43" s="189"/>
      <c r="G43" s="101">
        <f t="shared" si="1"/>
        <v>0</v>
      </c>
      <c r="H43" s="189">
        <v>1</v>
      </c>
      <c r="I43" s="89">
        <f t="shared" si="2"/>
        <v>0</v>
      </c>
      <c r="J43" s="89"/>
      <c r="K43" s="91" t="s">
        <v>118</v>
      </c>
      <c r="L43" s="92">
        <f>(L45-J45)*$K$7</f>
        <v>28.933333333333337</v>
      </c>
      <c r="M43" s="129"/>
    </row>
    <row r="44" spans="1:13" ht="12" customHeight="1">
      <c r="A44" s="129"/>
      <c r="B44" s="73"/>
      <c r="C44" s="226"/>
      <c r="D44" s="189"/>
      <c r="E44" s="96">
        <f t="shared" si="0"/>
        <v>0</v>
      </c>
      <c r="F44" s="189"/>
      <c r="G44" s="101">
        <f t="shared" si="1"/>
        <v>0</v>
      </c>
      <c r="H44" s="189">
        <v>1</v>
      </c>
      <c r="I44" s="89">
        <f t="shared" si="2"/>
        <v>0</v>
      </c>
      <c r="J44" s="90"/>
      <c r="K44" s="93" t="s">
        <v>117</v>
      </c>
      <c r="L44" s="99">
        <f>IF(L12&lt;&gt;0,L45/L12,"?")</f>
        <v>0.7079326923076923</v>
      </c>
      <c r="M44" s="129"/>
    </row>
    <row r="45" spans="1:13" ht="13.5" customHeight="1" thickBot="1">
      <c r="A45" s="130"/>
      <c r="B45" s="144" t="s">
        <v>113</v>
      </c>
      <c r="C45" s="141"/>
      <c r="D45" s="141"/>
      <c r="E45" s="159">
        <f>SUM(E31:E44)</f>
        <v>6.1</v>
      </c>
      <c r="F45" s="160">
        <f>IF(E45&lt;&gt;0,(G45/E45)*60,0)</f>
        <v>28.459016393442628</v>
      </c>
      <c r="G45" s="141">
        <f>SUM(G31:G44)</f>
        <v>2.8933333333333335</v>
      </c>
      <c r="H45" s="160">
        <f>IF(G45&lt;&gt;0,I45/G45,0)</f>
        <v>1</v>
      </c>
      <c r="I45" s="141">
        <f>SUM(I31:I44)</f>
        <v>2.8933333333333335</v>
      </c>
      <c r="J45" s="142">
        <f>SUM(I31:I44)</f>
        <v>2.8933333333333335</v>
      </c>
      <c r="K45" s="193">
        <v>0.5</v>
      </c>
      <c r="L45" s="143">
        <f>J45/(1-K45)</f>
        <v>5.786666666666667</v>
      </c>
      <c r="M45" s="130"/>
    </row>
    <row r="46" spans="1:13" ht="5.25" customHeight="1" thickBot="1">
      <c r="A46" s="129"/>
      <c r="B46" s="154"/>
      <c r="C46" s="56"/>
      <c r="D46" s="155"/>
      <c r="E46" s="56"/>
      <c r="F46" s="156"/>
      <c r="G46" s="156"/>
      <c r="H46" s="58"/>
      <c r="I46" s="149"/>
      <c r="J46" s="56"/>
      <c r="K46" s="157"/>
      <c r="L46" s="153"/>
      <c r="M46" s="129"/>
    </row>
    <row r="47" spans="1:14" ht="23.25" customHeight="1" hidden="1">
      <c r="A47" s="131" t="s">
        <v>48</v>
      </c>
      <c r="B47" s="20" t="s">
        <v>38</v>
      </c>
      <c r="C47" s="32" t="s">
        <v>27</v>
      </c>
      <c r="D47" s="46" t="s">
        <v>43</v>
      </c>
      <c r="E47" s="46" t="s">
        <v>44</v>
      </c>
      <c r="F47" s="39" t="s">
        <v>24</v>
      </c>
      <c r="G47" s="31" t="s">
        <v>36</v>
      </c>
      <c r="H47" s="32" t="s">
        <v>53</v>
      </c>
      <c r="I47" s="39" t="s">
        <v>28</v>
      </c>
      <c r="J47" s="32" t="s">
        <v>52</v>
      </c>
      <c r="K47" s="40" t="s">
        <v>29</v>
      </c>
      <c r="L47" s="41" t="s">
        <v>51</v>
      </c>
      <c r="M47" s="131" t="s">
        <v>48</v>
      </c>
      <c r="N47" s="87"/>
    </row>
    <row r="48" spans="1:14" ht="10.5" customHeight="1" hidden="1" thickBot="1">
      <c r="A48" s="131"/>
      <c r="B48" s="73"/>
      <c r="C48" s="45"/>
      <c r="D48" s="47">
        <f>$I$7/$L$7</f>
        <v>2</v>
      </c>
      <c r="E48" s="47">
        <f>C48*D48</f>
        <v>0</v>
      </c>
      <c r="F48" s="36">
        <f>E48/$I$7</f>
        <v>0</v>
      </c>
      <c r="G48" s="36">
        <f>F48</f>
        <v>0</v>
      </c>
      <c r="H48" s="29">
        <v>1</v>
      </c>
      <c r="I48" s="25">
        <f>(G48*H48)</f>
        <v>0</v>
      </c>
      <c r="J48" s="25"/>
      <c r="K48" s="37"/>
      <c r="L48" s="60"/>
      <c r="M48" s="131"/>
      <c r="N48" s="87"/>
    </row>
    <row r="49" spans="1:14" ht="10.5" customHeight="1" hidden="1" thickBot="1">
      <c r="A49" s="131"/>
      <c r="B49" s="73"/>
      <c r="C49" s="45"/>
      <c r="D49" s="47">
        <f>$I$7/$L$7</f>
        <v>2</v>
      </c>
      <c r="E49" s="47">
        <f>C49*D49</f>
        <v>0</v>
      </c>
      <c r="F49" s="36">
        <f>E49/$I$7</f>
        <v>0</v>
      </c>
      <c r="G49" s="36">
        <f>F49</f>
        <v>0</v>
      </c>
      <c r="H49" s="29">
        <v>1</v>
      </c>
      <c r="I49" s="25">
        <f>(G49*H49)</f>
        <v>0</v>
      </c>
      <c r="J49" s="25"/>
      <c r="K49" s="37"/>
      <c r="L49" s="60"/>
      <c r="M49" s="131"/>
      <c r="N49" s="87"/>
    </row>
    <row r="50" spans="1:14" ht="10.5" customHeight="1" hidden="1">
      <c r="A50" s="131"/>
      <c r="B50" s="73" t="s">
        <v>41</v>
      </c>
      <c r="C50" s="45">
        <v>0</v>
      </c>
      <c r="D50" s="47">
        <f>$I$7/$L$7</f>
        <v>2</v>
      </c>
      <c r="E50" s="49">
        <f>C50*D50</f>
        <v>0</v>
      </c>
      <c r="F50" s="36">
        <f>E50/$I$7</f>
        <v>0</v>
      </c>
      <c r="G50" s="36">
        <f>F50</f>
        <v>0</v>
      </c>
      <c r="H50" s="29">
        <v>1</v>
      </c>
      <c r="I50" s="25">
        <f>(G50*H50)</f>
        <v>0</v>
      </c>
      <c r="J50" s="25"/>
      <c r="K50" s="37" t="s">
        <v>37</v>
      </c>
      <c r="L50" s="60">
        <f>(J53-G53)*$K$7</f>
        <v>0</v>
      </c>
      <c r="M50" s="131"/>
      <c r="N50" s="87"/>
    </row>
    <row r="51" spans="1:14" ht="10.5" customHeight="1" hidden="1">
      <c r="A51" s="131"/>
      <c r="B51" s="73" t="s">
        <v>42</v>
      </c>
      <c r="C51" s="45">
        <v>0</v>
      </c>
      <c r="D51" s="47">
        <f>$I$7/$L$7</f>
        <v>2</v>
      </c>
      <c r="E51" s="47">
        <f>C51*D51</f>
        <v>0</v>
      </c>
      <c r="F51" s="36">
        <f>E51/$I$7</f>
        <v>0</v>
      </c>
      <c r="G51" s="36">
        <f>F51</f>
        <v>0</v>
      </c>
      <c r="H51" s="29">
        <v>1</v>
      </c>
      <c r="I51" s="25">
        <f>(G51*H51)</f>
        <v>0</v>
      </c>
      <c r="J51" s="25"/>
      <c r="K51" s="37" t="s">
        <v>46</v>
      </c>
      <c r="L51" s="60">
        <f>(L53-J53)*$K$7</f>
        <v>0</v>
      </c>
      <c r="M51" s="131"/>
      <c r="N51" s="87"/>
    </row>
    <row r="52" spans="1:14" ht="10.5" customHeight="1" hidden="1">
      <c r="A52" s="131"/>
      <c r="B52" s="73" t="s">
        <v>45</v>
      </c>
      <c r="C52" s="45">
        <v>0</v>
      </c>
      <c r="D52" s="47">
        <f>$I$7/$L$7</f>
        <v>2</v>
      </c>
      <c r="E52" s="47">
        <f>C52*D52</f>
        <v>0</v>
      </c>
      <c r="F52" s="36">
        <f>E52/$I$7</f>
        <v>0</v>
      </c>
      <c r="G52" s="36">
        <f>F52</f>
        <v>0</v>
      </c>
      <c r="H52" s="29">
        <v>1</v>
      </c>
      <c r="I52" s="25">
        <f>(G52*H52)</f>
        <v>0</v>
      </c>
      <c r="J52" s="42"/>
      <c r="K52" s="43" t="s">
        <v>29</v>
      </c>
      <c r="L52" s="61">
        <f>IF(L12&lt;&gt;0,L53/L12,"?")</f>
        <v>0</v>
      </c>
      <c r="M52" s="131"/>
      <c r="N52" s="87"/>
    </row>
    <row r="53" spans="1:14" ht="10.5" customHeight="1" hidden="1">
      <c r="A53" s="132" t="s">
        <v>49</v>
      </c>
      <c r="B53" s="76" t="s">
        <v>47</v>
      </c>
      <c r="C53" s="84"/>
      <c r="D53" s="84"/>
      <c r="E53" s="86"/>
      <c r="F53" s="84"/>
      <c r="G53" s="84">
        <f>SUM(G48:G52)</f>
        <v>0</v>
      </c>
      <c r="H53" s="84" t="str">
        <f>IF(G53&lt;&gt;0,I53/G53,"?")</f>
        <v>?</v>
      </c>
      <c r="I53" s="84">
        <f>SUM(I48:I52)</f>
        <v>0</v>
      </c>
      <c r="J53" s="85">
        <f>SUM(I50:I52)</f>
        <v>0</v>
      </c>
      <c r="K53" s="44">
        <v>0.25</v>
      </c>
      <c r="L53" s="62">
        <f>J53/(1-K53)</f>
        <v>0</v>
      </c>
      <c r="M53" s="132" t="s">
        <v>49</v>
      </c>
      <c r="N53" s="87"/>
    </row>
    <row r="54" spans="1:14" ht="5.25" customHeight="1" hidden="1" thickBot="1">
      <c r="A54" s="131"/>
      <c r="B54" s="63"/>
      <c r="C54" s="64"/>
      <c r="D54" s="65"/>
      <c r="E54" s="66"/>
      <c r="F54" s="67"/>
      <c r="G54" s="67"/>
      <c r="H54" s="68"/>
      <c r="I54" s="16"/>
      <c r="J54" s="64"/>
      <c r="K54" s="69"/>
      <c r="L54" s="70"/>
      <c r="M54" s="131"/>
      <c r="N54" s="87"/>
    </row>
    <row r="55" spans="1:13" ht="22.5" customHeight="1">
      <c r="A55" s="129"/>
      <c r="B55" s="20" t="s">
        <v>129</v>
      </c>
      <c r="C55" s="210" t="s">
        <v>27</v>
      </c>
      <c r="D55" s="5"/>
      <c r="E55" s="214" t="s">
        <v>105</v>
      </c>
      <c r="F55" s="209" t="s">
        <v>76</v>
      </c>
      <c r="G55" s="212" t="s">
        <v>78</v>
      </c>
      <c r="H55" s="217" t="s">
        <v>106</v>
      </c>
      <c r="I55" s="39" t="s">
        <v>104</v>
      </c>
      <c r="J55" s="210" t="s">
        <v>93</v>
      </c>
      <c r="K55" s="34" t="s">
        <v>102</v>
      </c>
      <c r="L55" s="41" t="s">
        <v>81</v>
      </c>
      <c r="M55" s="129"/>
    </row>
    <row r="56" spans="1:13" ht="12" customHeight="1">
      <c r="A56" s="129"/>
      <c r="B56" s="73"/>
      <c r="C56" s="194"/>
      <c r="D56" s="89"/>
      <c r="E56" s="100">
        <f>$I$7</f>
        <v>20</v>
      </c>
      <c r="F56" s="101">
        <f>C56/E56</f>
        <v>0</v>
      </c>
      <c r="G56" s="101">
        <f>F56</f>
        <v>0</v>
      </c>
      <c r="H56" s="189">
        <v>1</v>
      </c>
      <c r="I56" s="89">
        <f>(G56*H56)</f>
        <v>0</v>
      </c>
      <c r="J56" s="89"/>
      <c r="K56" s="91"/>
      <c r="L56" s="92"/>
      <c r="M56" s="129"/>
    </row>
    <row r="57" spans="1:13" ht="12" customHeight="1">
      <c r="A57" s="129"/>
      <c r="B57" s="73" t="s">
        <v>126</v>
      </c>
      <c r="C57" s="194"/>
      <c r="D57" s="89"/>
      <c r="E57" s="100">
        <f>$I$7</f>
        <v>20</v>
      </c>
      <c r="F57" s="101">
        <f>C57/E57</f>
        <v>0</v>
      </c>
      <c r="G57" s="101">
        <f>F57</f>
        <v>0</v>
      </c>
      <c r="H57" s="189">
        <v>1</v>
      </c>
      <c r="I57" s="89">
        <f>(G57*H57)</f>
        <v>0</v>
      </c>
      <c r="J57" s="89"/>
      <c r="K57" s="91"/>
      <c r="L57" s="92"/>
      <c r="M57" s="129"/>
    </row>
    <row r="58" spans="1:13" ht="12" customHeight="1">
      <c r="A58" s="129"/>
      <c r="B58" s="73" t="s">
        <v>122</v>
      </c>
      <c r="C58" s="194"/>
      <c r="D58" s="89"/>
      <c r="E58" s="100">
        <f>$I$7</f>
        <v>20</v>
      </c>
      <c r="F58" s="101">
        <f>C58/E58</f>
        <v>0</v>
      </c>
      <c r="G58" s="101">
        <f>F58</f>
        <v>0</v>
      </c>
      <c r="H58" s="189">
        <v>1</v>
      </c>
      <c r="I58" s="89">
        <f>(G58*H58)</f>
        <v>0</v>
      </c>
      <c r="J58" s="89"/>
      <c r="K58" s="91" t="s">
        <v>107</v>
      </c>
      <c r="L58" s="92">
        <f>(J61-G61)*$K$7</f>
        <v>0</v>
      </c>
      <c r="M58" s="129"/>
    </row>
    <row r="59" spans="1:13" ht="12" customHeight="1" thickBot="1">
      <c r="A59" s="129"/>
      <c r="B59" s="73" t="s">
        <v>119</v>
      </c>
      <c r="C59" s="194"/>
      <c r="D59" s="89"/>
      <c r="E59" s="100">
        <f>$I$7</f>
        <v>20</v>
      </c>
      <c r="F59" s="101">
        <f>C59/E59</f>
        <v>0</v>
      </c>
      <c r="G59" s="101">
        <f>F59</f>
        <v>0</v>
      </c>
      <c r="H59" s="189">
        <v>1</v>
      </c>
      <c r="I59" s="89">
        <f>(G59*H59)</f>
        <v>0</v>
      </c>
      <c r="J59" s="89"/>
      <c r="K59" s="91" t="s">
        <v>118</v>
      </c>
      <c r="L59" s="92">
        <f>(L61-J61)*$K$7</f>
        <v>0</v>
      </c>
      <c r="M59" s="129"/>
    </row>
    <row r="60" spans="1:13" ht="12" customHeight="1">
      <c r="A60" s="129"/>
      <c r="B60" s="73" t="s">
        <v>128</v>
      </c>
      <c r="C60" s="194"/>
      <c r="D60" s="89"/>
      <c r="E60" s="100">
        <f>$I$7</f>
        <v>20</v>
      </c>
      <c r="F60" s="101">
        <f>C60/E60</f>
        <v>0</v>
      </c>
      <c r="G60" s="101">
        <f>F60</f>
        <v>0</v>
      </c>
      <c r="H60" s="189">
        <v>1</v>
      </c>
      <c r="I60" s="89">
        <f>(G60*H60)</f>
        <v>0</v>
      </c>
      <c r="J60" s="90"/>
      <c r="K60" s="93" t="s">
        <v>117</v>
      </c>
      <c r="L60" s="99">
        <f>IF(L12&lt;&gt;0,L61/L12,"?")</f>
        <v>0</v>
      </c>
      <c r="M60" s="129"/>
    </row>
    <row r="61" spans="1:13" ht="13.5" customHeight="1" thickBot="1">
      <c r="A61" s="130"/>
      <c r="B61" s="114" t="s">
        <v>132</v>
      </c>
      <c r="C61" s="115"/>
      <c r="D61" s="115"/>
      <c r="E61" s="116"/>
      <c r="F61" s="115"/>
      <c r="G61" s="117">
        <f>SUM(G56:G60)</f>
        <v>0</v>
      </c>
      <c r="H61" s="117">
        <f>IF(G61&lt;&gt;0,I61/G61,0)</f>
        <v>0</v>
      </c>
      <c r="I61" s="115">
        <f>SUM(I56:I60)</f>
        <v>0</v>
      </c>
      <c r="J61" s="118">
        <f>SUM(I56:I60)</f>
        <v>0</v>
      </c>
      <c r="K61" s="192">
        <v>0.25</v>
      </c>
      <c r="L61" s="119">
        <f>J61/(1-K61)</f>
        <v>0</v>
      </c>
      <c r="M61" s="130"/>
    </row>
    <row r="62" spans="1:13" ht="5.25" customHeight="1" thickBot="1">
      <c r="A62" s="138"/>
      <c r="B62" s="133"/>
      <c r="C62" s="134"/>
      <c r="D62" s="134"/>
      <c r="E62" s="134"/>
      <c r="F62" s="134"/>
      <c r="G62" s="134"/>
      <c r="H62" s="134"/>
      <c r="I62" s="134"/>
      <c r="J62" s="135"/>
      <c r="K62" s="134"/>
      <c r="L62" s="136"/>
      <c r="M62" s="138"/>
    </row>
    <row r="63" spans="1:13" ht="12.75">
      <c r="A63" s="7"/>
      <c r="B63" s="13"/>
      <c r="C63" s="3"/>
      <c r="D63" s="3"/>
      <c r="E63" s="3"/>
      <c r="F63" s="50"/>
      <c r="G63" s="3"/>
      <c r="H63" s="3"/>
      <c r="I63" s="6"/>
      <c r="J63" s="3"/>
      <c r="M63" s="7"/>
    </row>
    <row r="64" spans="1:13" ht="12.75">
      <c r="A64" s="8"/>
      <c r="B64" s="26"/>
      <c r="C64" s="199"/>
      <c r="D64" s="26"/>
      <c r="E64" s="26"/>
      <c r="F64" s="26"/>
      <c r="G64" s="26"/>
      <c r="H64" s="4"/>
      <c r="I64" s="4"/>
      <c r="J64" s="6"/>
      <c r="K64" s="4"/>
      <c r="L64" s="53"/>
      <c r="M64" s="8"/>
    </row>
    <row r="65" spans="1:13" ht="12.75">
      <c r="A65" s="8"/>
      <c r="B65" s="7"/>
      <c r="C65" s="7"/>
      <c r="D65" s="7"/>
      <c r="E65" s="7"/>
      <c r="F65" s="7"/>
      <c r="G65" s="7"/>
      <c r="H65" s="4"/>
      <c r="I65" s="4"/>
      <c r="J65" s="6"/>
      <c r="K65" s="4"/>
      <c r="L65" s="54"/>
      <c r="M65" s="8"/>
    </row>
    <row r="66" spans="1:13" ht="13.5">
      <c r="A66" s="8"/>
      <c r="B66" s="7"/>
      <c r="C66" s="7"/>
      <c r="D66" s="7"/>
      <c r="E66" s="7"/>
      <c r="F66" s="7"/>
      <c r="G66" s="7"/>
      <c r="H66" s="4"/>
      <c r="I66" s="4"/>
      <c r="J66" s="6"/>
      <c r="K66" s="4"/>
      <c r="L66" s="53"/>
      <c r="M66" s="8"/>
    </row>
    <row r="67" spans="1:13" ht="13.5">
      <c r="A67" s="8"/>
      <c r="B67" s="7"/>
      <c r="C67" s="7"/>
      <c r="D67" s="7"/>
      <c r="E67" s="7"/>
      <c r="F67" s="7"/>
      <c r="G67" s="7"/>
      <c r="H67" s="8"/>
      <c r="I67" s="8"/>
      <c r="J67" s="8"/>
      <c r="K67" s="8"/>
      <c r="L67" s="8"/>
      <c r="M67" s="8"/>
    </row>
    <row r="68" spans="1:13" ht="13.5">
      <c r="A68" s="8"/>
      <c r="B68" s="7"/>
      <c r="C68" s="7"/>
      <c r="D68" s="7"/>
      <c r="E68" s="7"/>
      <c r="F68" s="7"/>
      <c r="G68" s="7"/>
      <c r="H68" s="8"/>
      <c r="I68" s="8"/>
      <c r="J68" s="8"/>
      <c r="K68" s="8"/>
      <c r="L68" s="8"/>
      <c r="M68" s="8"/>
    </row>
    <row r="69" spans="1:13" ht="13.5">
      <c r="A69" s="7"/>
      <c r="B69" s="8"/>
      <c r="C69" s="7"/>
      <c r="D69" s="7"/>
      <c r="E69" s="7"/>
      <c r="F69" s="7"/>
      <c r="G69" s="7"/>
      <c r="H69" s="7"/>
      <c r="I69" s="7"/>
      <c r="J69" s="7"/>
      <c r="K69" s="8"/>
      <c r="L69" s="7"/>
      <c r="M69" s="7"/>
    </row>
    <row r="70" spans="1:13" ht="13.5">
      <c r="A70" s="7"/>
      <c r="B70" s="8"/>
      <c r="C70" s="9"/>
      <c r="D70" s="8"/>
      <c r="E70" s="7"/>
      <c r="F70" s="7"/>
      <c r="G70" s="7"/>
      <c r="H70" s="7"/>
      <c r="I70" s="7"/>
      <c r="J70" s="7"/>
      <c r="K70" s="8"/>
      <c r="L70" s="7"/>
      <c r="M70" s="7"/>
    </row>
    <row r="71" spans="1:13" ht="13.5">
      <c r="A71" s="7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</row>
    <row r="72" spans="1:13" ht="13.5">
      <c r="A72" s="7"/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  <c r="M72" s="7"/>
    </row>
    <row r="73" spans="1:13" ht="13.5">
      <c r="A73" s="7"/>
      <c r="B73" s="7"/>
      <c r="C73" s="7"/>
      <c r="D73" s="7"/>
      <c r="E73" s="7"/>
      <c r="F73" s="7"/>
      <c r="G73" s="7"/>
      <c r="H73" s="8"/>
      <c r="I73" s="8"/>
      <c r="J73" s="7"/>
      <c r="K73" s="7"/>
      <c r="L73" s="7"/>
      <c r="M73" s="7"/>
    </row>
    <row r="74" spans="1:13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3.5">
      <c r="A75" s="7"/>
      <c r="B75" s="1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3.5">
      <c r="A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3.5">
      <c r="A80" s="7"/>
      <c r="B80" s="7"/>
      <c r="C80" s="26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3.5">
      <c r="A84" s="7"/>
      <c r="B84" s="11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3.5">
      <c r="A85" s="7"/>
      <c r="B85" s="7"/>
      <c r="C85" s="12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3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3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3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3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3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3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3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3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3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3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3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3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3.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3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3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3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3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3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3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3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3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3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3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3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3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3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3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3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3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3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3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3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3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3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3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3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</sheetData>
  <sheetProtection/>
  <mergeCells count="16">
    <mergeCell ref="F2:H2"/>
    <mergeCell ref="I2:J2"/>
    <mergeCell ref="C5:E5"/>
    <mergeCell ref="F5:L5"/>
    <mergeCell ref="C4:E4"/>
    <mergeCell ref="F4:L4"/>
    <mergeCell ref="N18:P23"/>
    <mergeCell ref="G6:H7"/>
    <mergeCell ref="B2:B3"/>
    <mergeCell ref="C2:E2"/>
    <mergeCell ref="B6:B7"/>
    <mergeCell ref="G8:L9"/>
    <mergeCell ref="K2:L2"/>
    <mergeCell ref="C3:E3"/>
    <mergeCell ref="F3:L3"/>
    <mergeCell ref="B4:B5"/>
  </mergeCells>
  <printOptions/>
  <pageMargins left="0.75" right="0.75" top="1" bottom="1" header="0.4921259845" footer="0.4921259845"/>
  <pageSetup fitToHeight="1" fitToWidth="1" horizontalDpi="600" verticalDpi="600" orientation="portrait" paperSize="9" scale="8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0"/>
  <sheetViews>
    <sheetView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C33" sqref="C33"/>
    </sheetView>
  </sheetViews>
  <sheetFormatPr defaultColWidth="9.140625" defaultRowHeight="12.75"/>
  <cols>
    <col min="1" max="1" width="0.71875" style="1" customWidth="1"/>
    <col min="2" max="2" width="28.28125" style="1" customWidth="1"/>
    <col min="3" max="7" width="8.7109375" style="1" customWidth="1"/>
    <col min="8" max="8" width="9.7109375" style="1" customWidth="1"/>
    <col min="9" max="11" width="8.7109375" style="1" customWidth="1"/>
    <col min="12" max="12" width="9.28125" style="1" customWidth="1"/>
    <col min="13" max="13" width="0.71875" style="1" customWidth="1"/>
    <col min="76" max="16384" width="9.140625" style="1" customWidth="1"/>
  </cols>
  <sheetData>
    <row r="1" spans="1:13" ht="5.25" customHeight="1" thickBot="1">
      <c r="A1" s="138"/>
      <c r="B1" s="133"/>
      <c r="C1" s="134"/>
      <c r="D1" s="134"/>
      <c r="E1" s="134"/>
      <c r="F1" s="134"/>
      <c r="G1" s="134"/>
      <c r="H1" s="134"/>
      <c r="I1" s="134"/>
      <c r="J1" s="135"/>
      <c r="K1" s="134"/>
      <c r="L1" s="136"/>
      <c r="M1" s="138"/>
    </row>
    <row r="2" spans="1:14" ht="15" customHeight="1">
      <c r="A2" s="128"/>
      <c r="B2" s="284"/>
      <c r="C2" s="239" t="s">
        <v>114</v>
      </c>
      <c r="D2" s="240"/>
      <c r="E2" s="241"/>
      <c r="F2" s="294" t="str">
        <f>Product!F2</f>
        <v>Kari Kolehmainen</v>
      </c>
      <c r="G2" s="295"/>
      <c r="H2" s="245"/>
      <c r="I2" s="233" t="s">
        <v>73</v>
      </c>
      <c r="J2" s="234"/>
      <c r="K2" s="286" t="str">
        <f>Product!K2</f>
        <v>22.1 2014</v>
      </c>
      <c r="L2" s="287"/>
      <c r="M2" s="128"/>
      <c r="N2" t="s">
        <v>31</v>
      </c>
    </row>
    <row r="3" spans="1:14" ht="15" customHeight="1">
      <c r="A3" s="123"/>
      <c r="B3" s="285"/>
      <c r="C3" s="288" t="s">
        <v>69</v>
      </c>
      <c r="D3" s="289"/>
      <c r="E3" s="290"/>
      <c r="F3" s="291">
        <f>Product!F3</f>
        <v>0</v>
      </c>
      <c r="G3" s="292"/>
      <c r="H3" s="292"/>
      <c r="I3" s="292"/>
      <c r="J3" s="292"/>
      <c r="K3" s="292"/>
      <c r="L3" s="293"/>
      <c r="M3" s="123"/>
      <c r="N3" t="s">
        <v>30</v>
      </c>
    </row>
    <row r="4" spans="1:14" ht="15" customHeight="1">
      <c r="A4" s="129"/>
      <c r="B4" s="273" t="s">
        <v>67</v>
      </c>
      <c r="C4" s="288" t="s">
        <v>70</v>
      </c>
      <c r="D4" s="289"/>
      <c r="E4" s="290"/>
      <c r="F4" s="291" t="s">
        <v>150</v>
      </c>
      <c r="G4" s="292"/>
      <c r="H4" s="292"/>
      <c r="I4" s="292"/>
      <c r="J4" s="292"/>
      <c r="K4" s="292"/>
      <c r="L4" s="293"/>
      <c r="M4" s="129"/>
      <c r="N4" t="s">
        <v>59</v>
      </c>
    </row>
    <row r="5" spans="1:14" ht="15" customHeight="1" thickBot="1">
      <c r="A5" s="129"/>
      <c r="B5" s="273"/>
      <c r="C5" s="288"/>
      <c r="D5" s="289"/>
      <c r="E5" s="290"/>
      <c r="F5" s="296" t="s">
        <v>151</v>
      </c>
      <c r="G5" s="297"/>
      <c r="H5" s="297"/>
      <c r="I5" s="297"/>
      <c r="J5" s="297"/>
      <c r="K5" s="297"/>
      <c r="L5" s="298"/>
      <c r="M5" s="129"/>
      <c r="N5" s="187" t="s">
        <v>58</v>
      </c>
    </row>
    <row r="6" spans="1:14" ht="12.75" customHeight="1">
      <c r="A6" s="129"/>
      <c r="B6" s="273" t="s">
        <v>74</v>
      </c>
      <c r="C6" s="79" t="s">
        <v>71</v>
      </c>
      <c r="D6" s="77"/>
      <c r="E6" s="77"/>
      <c r="F6" s="197" t="s">
        <v>90</v>
      </c>
      <c r="G6" s="277"/>
      <c r="H6" s="278"/>
      <c r="I6" s="174" t="s">
        <v>98</v>
      </c>
      <c r="J6" s="113"/>
      <c r="K6" s="176" t="s">
        <v>99</v>
      </c>
      <c r="L6" s="176" t="s">
        <v>100</v>
      </c>
      <c r="M6" s="129"/>
      <c r="N6" t="s">
        <v>32</v>
      </c>
    </row>
    <row r="7" spans="1:14" ht="12.75" customHeight="1" thickBot="1">
      <c r="A7" s="129"/>
      <c r="B7" s="273"/>
      <c r="C7" s="80"/>
      <c r="D7" s="78"/>
      <c r="E7" s="78"/>
      <c r="F7" s="198" t="s">
        <v>50</v>
      </c>
      <c r="G7" s="279"/>
      <c r="H7" s="280"/>
      <c r="I7" s="185">
        <v>20</v>
      </c>
      <c r="J7" s="177" t="s">
        <v>56</v>
      </c>
      <c r="K7" s="196">
        <v>10</v>
      </c>
      <c r="L7" s="195">
        <v>10</v>
      </c>
      <c r="M7" s="129"/>
      <c r="N7" t="s">
        <v>33</v>
      </c>
    </row>
    <row r="8" spans="1:13" ht="19.5" customHeight="1" thickBot="1">
      <c r="A8" s="129"/>
      <c r="B8" s="27"/>
      <c r="C8" s="14"/>
      <c r="D8" s="55"/>
      <c r="E8" s="82"/>
      <c r="F8" s="48"/>
      <c r="G8" s="269" t="s">
        <v>112</v>
      </c>
      <c r="H8" s="269"/>
      <c r="I8" s="269"/>
      <c r="J8" s="269"/>
      <c r="K8" s="269"/>
      <c r="L8" s="270"/>
      <c r="M8" s="129"/>
    </row>
    <row r="9" spans="1:13" ht="19.5" customHeight="1" thickBot="1">
      <c r="A9" s="129"/>
      <c r="B9" s="15"/>
      <c r="C9" s="63"/>
      <c r="D9" s="72"/>
      <c r="E9" s="215" t="s">
        <v>110</v>
      </c>
      <c r="F9" s="221">
        <v>1</v>
      </c>
      <c r="G9" s="271"/>
      <c r="H9" s="271"/>
      <c r="I9" s="271"/>
      <c r="J9" s="271"/>
      <c r="K9" s="271"/>
      <c r="L9" s="272"/>
      <c r="M9" s="129"/>
    </row>
    <row r="10" spans="1:13" ht="5.25" customHeight="1" thickBot="1">
      <c r="A10" s="129"/>
      <c r="B10" s="124"/>
      <c r="C10" s="125"/>
      <c r="D10" s="121"/>
      <c r="E10" s="125"/>
      <c r="F10" s="121"/>
      <c r="G10" s="121"/>
      <c r="H10" s="125"/>
      <c r="I10" s="121"/>
      <c r="J10" s="125"/>
      <c r="K10" s="126"/>
      <c r="L10" s="127"/>
      <c r="M10" s="129"/>
    </row>
    <row r="11" spans="1:13" ht="24.75" customHeight="1" thickBot="1">
      <c r="A11" s="129"/>
      <c r="B11" s="17" t="s">
        <v>85</v>
      </c>
      <c r="C11" s="18"/>
      <c r="D11" s="19"/>
      <c r="E11" s="213" t="s">
        <v>109</v>
      </c>
      <c r="F11" s="21" t="s">
        <v>89</v>
      </c>
      <c r="G11" s="216" t="s">
        <v>95</v>
      </c>
      <c r="H11" s="213" t="s">
        <v>107</v>
      </c>
      <c r="I11" s="216" t="s">
        <v>108</v>
      </c>
      <c r="J11" s="213" t="s">
        <v>93</v>
      </c>
      <c r="K11" s="22" t="s">
        <v>101</v>
      </c>
      <c r="L11" s="23" t="s">
        <v>81</v>
      </c>
      <c r="M11" s="129"/>
    </row>
    <row r="12" spans="1:13" ht="13.5" thickBot="1">
      <c r="A12" s="130"/>
      <c r="B12" s="14"/>
      <c r="C12" s="2"/>
      <c r="D12" s="3"/>
      <c r="E12" s="102">
        <f>IF($E$45&lt;&gt;0,(60/$E$45*(L12-J12)),0)</f>
        <v>13.193684210526321</v>
      </c>
      <c r="F12" s="103">
        <f>(E45/60)*$I$7</f>
        <v>0.6666666666666666</v>
      </c>
      <c r="G12" s="111">
        <f>G21+G28+G45+G53+G61</f>
        <v>1.6533333333333333</v>
      </c>
      <c r="H12" s="104">
        <f>(J12-G12)*$K$7</f>
        <v>0.3600000000000003</v>
      </c>
      <c r="I12" s="104">
        <f>(L12-J12)*$K$7</f>
        <v>4.397894736842107</v>
      </c>
      <c r="J12" s="105">
        <f>SUM(J17:J61)</f>
        <v>1.6893333333333334</v>
      </c>
      <c r="K12" s="106">
        <f>IF(L12&lt;&gt;0,(L12-J12)/L12,0)</f>
        <v>0.20655899802241273</v>
      </c>
      <c r="L12" s="107">
        <f>L21+L28+L45+L53+L61</f>
        <v>2.129122807017544</v>
      </c>
      <c r="M12" s="130"/>
    </row>
    <row r="13" spans="1:13" ht="13.5" thickBot="1">
      <c r="A13" s="129"/>
      <c r="B13" s="13"/>
      <c r="C13" s="2"/>
      <c r="D13" s="3"/>
      <c r="E13" s="3"/>
      <c r="F13" s="3"/>
      <c r="G13" s="3"/>
      <c r="H13" s="3"/>
      <c r="I13" s="3"/>
      <c r="J13" s="3"/>
      <c r="K13" s="3"/>
      <c r="L13" s="108" t="s">
        <v>94</v>
      </c>
      <c r="M13" s="129"/>
    </row>
    <row r="14" spans="1:13" ht="13.5" thickBot="1">
      <c r="A14" s="129"/>
      <c r="B14" s="15"/>
      <c r="C14" s="71"/>
      <c r="D14" s="16"/>
      <c r="E14" s="102">
        <f>IF($E$45&lt;&gt;0,(60/$E$45*(L14-J12)),0)</f>
        <v>13.219999999999995</v>
      </c>
      <c r="F14" s="56"/>
      <c r="G14" s="112">
        <f>G12</f>
        <v>1.6533333333333333</v>
      </c>
      <c r="H14" s="57"/>
      <c r="I14" s="104">
        <f>(L14-J12)*$K$7</f>
        <v>4.406666666666665</v>
      </c>
      <c r="J14" s="58"/>
      <c r="K14" s="106">
        <f>IF(L14&lt;&gt;0,(L14-J12)/L14,"?")</f>
        <v>0.206885758998435</v>
      </c>
      <c r="L14" s="188">
        <v>2.13</v>
      </c>
      <c r="M14" s="129"/>
    </row>
    <row r="15" spans="1:13" ht="5.25" customHeight="1" thickBot="1">
      <c r="A15" s="129"/>
      <c r="B15" s="120"/>
      <c r="C15" s="121"/>
      <c r="D15" s="121"/>
      <c r="E15" s="121"/>
      <c r="F15" s="121"/>
      <c r="G15" s="121"/>
      <c r="H15" s="121"/>
      <c r="I15" s="121"/>
      <c r="J15" s="122"/>
      <c r="K15" s="121"/>
      <c r="L15" s="123"/>
      <c r="M15" s="129"/>
    </row>
    <row r="16" spans="1:13" ht="24.75" customHeight="1">
      <c r="A16" s="129"/>
      <c r="B16" s="24" t="s">
        <v>82</v>
      </c>
      <c r="C16" s="210" t="s">
        <v>63</v>
      </c>
      <c r="D16" s="210" t="s">
        <v>64</v>
      </c>
      <c r="E16" s="211" t="s">
        <v>86</v>
      </c>
      <c r="F16" s="210" t="s">
        <v>76</v>
      </c>
      <c r="G16" s="212" t="s">
        <v>78</v>
      </c>
      <c r="H16" s="217" t="s">
        <v>106</v>
      </c>
      <c r="I16" s="210" t="s">
        <v>87</v>
      </c>
      <c r="J16" s="211" t="s">
        <v>93</v>
      </c>
      <c r="K16" s="161"/>
      <c r="L16" s="163" t="s">
        <v>51</v>
      </c>
      <c r="M16" s="129"/>
    </row>
    <row r="17" spans="1:13" ht="12" customHeight="1" thickBot="1">
      <c r="A17" s="129"/>
      <c r="B17" s="73" t="s">
        <v>145</v>
      </c>
      <c r="C17" s="29">
        <v>0.8</v>
      </c>
      <c r="D17" s="29">
        <v>0.9</v>
      </c>
      <c r="E17" s="226">
        <v>1</v>
      </c>
      <c r="F17" s="189">
        <f>D17*C17</f>
        <v>0.7200000000000001</v>
      </c>
      <c r="G17" s="101">
        <f>(E17*F17)</f>
        <v>0.7200000000000001</v>
      </c>
      <c r="H17" s="189">
        <v>1.05</v>
      </c>
      <c r="I17" s="89">
        <f>(G17*H17)</f>
        <v>0.7560000000000001</v>
      </c>
      <c r="J17" s="89"/>
      <c r="K17" s="89"/>
      <c r="L17" s="98"/>
      <c r="M17" s="129"/>
    </row>
    <row r="18" spans="1:16" ht="12" customHeight="1">
      <c r="A18" s="129"/>
      <c r="B18" s="73"/>
      <c r="C18" s="29"/>
      <c r="D18" s="29"/>
      <c r="E18" s="226"/>
      <c r="F18" s="189"/>
      <c r="G18" s="101">
        <f>(E18*F18)</f>
        <v>0</v>
      </c>
      <c r="H18" s="189">
        <v>1.08</v>
      </c>
      <c r="I18" s="89">
        <f>(G18*H18)</f>
        <v>0</v>
      </c>
      <c r="J18" s="89"/>
      <c r="K18" s="91" t="s">
        <v>107</v>
      </c>
      <c r="L18" s="92">
        <f>(J21-G21)*$K$7</f>
        <v>0.3600000000000003</v>
      </c>
      <c r="M18" s="129"/>
      <c r="N18" s="281" t="s">
        <v>55</v>
      </c>
      <c r="O18" s="259"/>
      <c r="P18" s="260"/>
    </row>
    <row r="19" spans="1:16" ht="12" customHeight="1" thickBot="1">
      <c r="A19" s="129"/>
      <c r="B19" s="73"/>
      <c r="C19" s="29"/>
      <c r="D19" s="29"/>
      <c r="E19" s="226"/>
      <c r="F19" s="189"/>
      <c r="G19" s="101">
        <f>(E19*F19)</f>
        <v>0</v>
      </c>
      <c r="H19" s="189">
        <v>1.08</v>
      </c>
      <c r="I19" s="89">
        <f>(G19*H19)</f>
        <v>0</v>
      </c>
      <c r="J19" s="89"/>
      <c r="K19" s="91" t="s">
        <v>118</v>
      </c>
      <c r="L19" s="92">
        <f>(L21-J21)*$K$7</f>
        <v>0.39789473684210597</v>
      </c>
      <c r="M19" s="129"/>
      <c r="N19" s="282"/>
      <c r="O19" s="261"/>
      <c r="P19" s="262"/>
    </row>
    <row r="20" spans="1:16" ht="12" customHeight="1">
      <c r="A20" s="129"/>
      <c r="B20" s="74"/>
      <c r="C20" s="30"/>
      <c r="D20" s="30"/>
      <c r="E20" s="226"/>
      <c r="F20" s="190"/>
      <c r="G20" s="101">
        <f>(E20*F20)</f>
        <v>0</v>
      </c>
      <c r="H20" s="191">
        <v>1.08</v>
      </c>
      <c r="I20" s="89">
        <f>(G20*H20)</f>
        <v>0</v>
      </c>
      <c r="J20" s="90"/>
      <c r="K20" s="93" t="s">
        <v>117</v>
      </c>
      <c r="L20" s="95">
        <f>IF(L12&lt;&gt;0,L21/L12,"?")</f>
        <v>0.3737640079103494</v>
      </c>
      <c r="M20" s="129"/>
      <c r="N20" s="282"/>
      <c r="O20" s="261"/>
      <c r="P20" s="262"/>
    </row>
    <row r="21" spans="1:16" ht="13.5" customHeight="1" thickBot="1">
      <c r="A21" s="130"/>
      <c r="B21" s="140" t="s">
        <v>88</v>
      </c>
      <c r="C21" s="141"/>
      <c r="D21" s="141"/>
      <c r="E21" s="141"/>
      <c r="F21" s="141"/>
      <c r="G21" s="160">
        <f>SUM(G17:G20)</f>
        <v>0.7200000000000001</v>
      </c>
      <c r="H21" s="160">
        <f>IF(G21&lt;&gt;0,I21/G21,0)</f>
        <v>1.05</v>
      </c>
      <c r="I21" s="141">
        <f>SUM(I17:I20)</f>
        <v>0.7560000000000001</v>
      </c>
      <c r="J21" s="142">
        <f>SUM(I17:I20)</f>
        <v>0.7560000000000001</v>
      </c>
      <c r="K21" s="193">
        <v>0.05</v>
      </c>
      <c r="L21" s="143">
        <f>J21/(1-K21)</f>
        <v>0.7957894736842107</v>
      </c>
      <c r="M21" s="130"/>
      <c r="N21" s="282"/>
      <c r="O21" s="261"/>
      <c r="P21" s="262"/>
    </row>
    <row r="22" spans="1:16" ht="5.25" customHeight="1" thickBot="1">
      <c r="A22" s="129"/>
      <c r="B22" s="147"/>
      <c r="C22" s="56"/>
      <c r="D22" s="56"/>
      <c r="E22" s="148"/>
      <c r="F22" s="56"/>
      <c r="G22" s="149"/>
      <c r="H22" s="149"/>
      <c r="I22" s="105"/>
      <c r="J22" s="56"/>
      <c r="K22" s="150"/>
      <c r="L22" s="151"/>
      <c r="M22" s="129"/>
      <c r="N22" s="282"/>
      <c r="O22" s="261"/>
      <c r="P22" s="262"/>
    </row>
    <row r="23" spans="1:16" ht="22.5" customHeight="1" thickBot="1">
      <c r="A23" s="129"/>
      <c r="B23" s="24" t="s">
        <v>84</v>
      </c>
      <c r="C23" s="210" t="s">
        <v>34</v>
      </c>
      <c r="D23" s="210" t="s">
        <v>35</v>
      </c>
      <c r="E23" s="211" t="s">
        <v>86</v>
      </c>
      <c r="F23" s="210" t="s">
        <v>76</v>
      </c>
      <c r="G23" s="212" t="s">
        <v>78</v>
      </c>
      <c r="H23" s="217" t="s">
        <v>106</v>
      </c>
      <c r="I23" s="32" t="s">
        <v>104</v>
      </c>
      <c r="J23" s="211" t="s">
        <v>93</v>
      </c>
      <c r="K23" s="161"/>
      <c r="L23" s="163" t="s">
        <v>81</v>
      </c>
      <c r="M23" s="129"/>
      <c r="N23" s="283"/>
      <c r="O23" s="263"/>
      <c r="P23" s="264"/>
    </row>
    <row r="24" spans="1:16" ht="12" customHeight="1">
      <c r="A24" s="129"/>
      <c r="B24" s="73"/>
      <c r="C24" s="29"/>
      <c r="D24" s="29"/>
      <c r="E24" s="226"/>
      <c r="F24" s="189"/>
      <c r="G24" s="101">
        <f>(E24*F24)</f>
        <v>0</v>
      </c>
      <c r="H24" s="189">
        <v>1.08</v>
      </c>
      <c r="I24" s="89">
        <f>(G24*H24)</f>
        <v>0</v>
      </c>
      <c r="J24" s="89"/>
      <c r="K24" s="91"/>
      <c r="L24" s="92"/>
      <c r="M24" s="129"/>
      <c r="N24" s="38"/>
      <c r="O24" s="38"/>
      <c r="P24" s="38"/>
    </row>
    <row r="25" spans="1:16" ht="12" customHeight="1">
      <c r="A25" s="129"/>
      <c r="B25" s="73"/>
      <c r="C25" s="29"/>
      <c r="D25" s="29"/>
      <c r="E25" s="226"/>
      <c r="F25" s="189"/>
      <c r="G25" s="101">
        <f>(E25*F25)</f>
        <v>0</v>
      </c>
      <c r="H25" s="189">
        <v>1.08</v>
      </c>
      <c r="I25" s="89">
        <f>(G25*H25)</f>
        <v>0</v>
      </c>
      <c r="J25" s="89"/>
      <c r="K25" s="91" t="s">
        <v>107</v>
      </c>
      <c r="L25" s="92">
        <f>(J28-G28)*$K$7</f>
        <v>0</v>
      </c>
      <c r="M25" s="129"/>
      <c r="N25" s="38"/>
      <c r="O25" s="38"/>
      <c r="P25" s="38"/>
    </row>
    <row r="26" spans="1:16" ht="12" customHeight="1" thickBot="1">
      <c r="A26" s="129"/>
      <c r="B26" s="73"/>
      <c r="C26" s="29"/>
      <c r="D26" s="29"/>
      <c r="E26" s="226"/>
      <c r="F26" s="189"/>
      <c r="G26" s="101">
        <f>(E26*F26)</f>
        <v>0</v>
      </c>
      <c r="H26" s="189">
        <v>1.08</v>
      </c>
      <c r="I26" s="89">
        <f>(G26*H26)</f>
        <v>0</v>
      </c>
      <c r="J26" s="89"/>
      <c r="K26" s="91" t="s">
        <v>118</v>
      </c>
      <c r="L26" s="92">
        <f>(L28-J28)*$K$7</f>
        <v>0</v>
      </c>
      <c r="M26" s="129"/>
      <c r="N26" s="38"/>
      <c r="O26" s="38"/>
      <c r="P26" s="38"/>
    </row>
    <row r="27" spans="1:16" ht="12" customHeight="1">
      <c r="A27" s="129"/>
      <c r="B27" s="73"/>
      <c r="C27" s="29"/>
      <c r="D27" s="29"/>
      <c r="E27" s="226"/>
      <c r="F27" s="189"/>
      <c r="G27" s="101">
        <f>(E27*F27)</f>
        <v>0</v>
      </c>
      <c r="H27" s="189">
        <v>1.08</v>
      </c>
      <c r="I27" s="89">
        <f>(G27*H27)</f>
        <v>0</v>
      </c>
      <c r="J27" s="90"/>
      <c r="K27" s="93" t="s">
        <v>117</v>
      </c>
      <c r="L27" s="99">
        <f>IF(L12&lt;&gt;0,L28/L12,"?")</f>
        <v>0</v>
      </c>
      <c r="M27" s="129"/>
      <c r="N27" s="38"/>
      <c r="O27" s="38"/>
      <c r="P27" s="38"/>
    </row>
    <row r="28" spans="1:13" ht="13.5" customHeight="1" thickBot="1">
      <c r="A28" s="130"/>
      <c r="B28" s="140" t="s">
        <v>120</v>
      </c>
      <c r="C28" s="141"/>
      <c r="D28" s="141"/>
      <c r="E28" s="141"/>
      <c r="F28" s="141"/>
      <c r="G28" s="160">
        <f>SUM(G24:G27)</f>
        <v>0</v>
      </c>
      <c r="H28" s="160">
        <f>IF(G28&lt;&gt;0,I28/G28,0)</f>
        <v>0</v>
      </c>
      <c r="I28" s="141">
        <f>SUM(I24:I27)</f>
        <v>0</v>
      </c>
      <c r="J28" s="142">
        <f>SUM(I24:I27)</f>
        <v>0</v>
      </c>
      <c r="K28" s="193">
        <v>0.08</v>
      </c>
      <c r="L28" s="143">
        <f>J28/(1-K28)</f>
        <v>0</v>
      </c>
      <c r="M28" s="130"/>
    </row>
    <row r="29" spans="1:13" ht="5.25" customHeight="1" thickBot="1">
      <c r="A29" s="129"/>
      <c r="B29" s="17"/>
      <c r="C29" s="56"/>
      <c r="D29" s="56"/>
      <c r="E29" s="148"/>
      <c r="F29" s="56"/>
      <c r="G29" s="149"/>
      <c r="H29" s="152"/>
      <c r="I29" s="58"/>
      <c r="J29" s="56"/>
      <c r="K29" s="150"/>
      <c r="L29" s="153"/>
      <c r="M29" s="129"/>
    </row>
    <row r="30" spans="1:13" ht="24.75" customHeight="1">
      <c r="A30" s="129"/>
      <c r="B30" s="24" t="s">
        <v>83</v>
      </c>
      <c r="C30" s="210" t="s">
        <v>77</v>
      </c>
      <c r="D30" s="210" t="s">
        <v>26</v>
      </c>
      <c r="E30" s="211" t="s">
        <v>121</v>
      </c>
      <c r="F30" s="210" t="s">
        <v>25</v>
      </c>
      <c r="G30" s="212" t="s">
        <v>78</v>
      </c>
      <c r="H30" s="217" t="s">
        <v>106</v>
      </c>
      <c r="I30" s="210" t="s">
        <v>76</v>
      </c>
      <c r="J30" s="211" t="s">
        <v>93</v>
      </c>
      <c r="K30" s="34" t="s">
        <v>102</v>
      </c>
      <c r="L30" s="35" t="s">
        <v>81</v>
      </c>
      <c r="M30" s="129"/>
    </row>
    <row r="31" spans="1:13" ht="12" customHeight="1">
      <c r="A31" s="129"/>
      <c r="B31" s="73" t="s">
        <v>7</v>
      </c>
      <c r="C31" s="226">
        <v>1</v>
      </c>
      <c r="D31" s="189">
        <v>1</v>
      </c>
      <c r="E31" s="96">
        <f aca="true" t="shared" si="0" ref="E31:E44">C31*D31</f>
        <v>1</v>
      </c>
      <c r="F31" s="189">
        <v>28</v>
      </c>
      <c r="G31" s="101">
        <f aca="true" t="shared" si="1" ref="G31:G44">E31/60*F31</f>
        <v>0.4666666666666667</v>
      </c>
      <c r="H31" s="189">
        <v>1</v>
      </c>
      <c r="I31" s="89">
        <f aca="true" t="shared" si="2" ref="I31:I44">(G31*H31)</f>
        <v>0.4666666666666667</v>
      </c>
      <c r="J31" s="89"/>
      <c r="K31" s="97"/>
      <c r="L31" s="98"/>
      <c r="M31" s="129"/>
    </row>
    <row r="32" spans="1:13" ht="12" customHeight="1">
      <c r="A32" s="129"/>
      <c r="B32" s="73" t="s">
        <v>6</v>
      </c>
      <c r="C32" s="226">
        <v>1</v>
      </c>
      <c r="D32" s="189">
        <f>10/K7</f>
        <v>1</v>
      </c>
      <c r="E32" s="96">
        <f t="shared" si="0"/>
        <v>1</v>
      </c>
      <c r="F32" s="189">
        <v>28</v>
      </c>
      <c r="G32" s="101">
        <f>E32/60*F32</f>
        <v>0.4666666666666667</v>
      </c>
      <c r="H32" s="189">
        <v>1</v>
      </c>
      <c r="I32" s="89">
        <f t="shared" si="2"/>
        <v>0.4666666666666667</v>
      </c>
      <c r="J32" s="89"/>
      <c r="K32" s="97"/>
      <c r="L32" s="98"/>
      <c r="M32" s="129"/>
    </row>
    <row r="33" spans="1:13" ht="12" customHeight="1">
      <c r="A33" s="129"/>
      <c r="B33" s="73"/>
      <c r="C33" s="226"/>
      <c r="D33" s="189"/>
      <c r="E33" s="96">
        <f t="shared" si="0"/>
        <v>0</v>
      </c>
      <c r="F33" s="189"/>
      <c r="G33" s="101">
        <f t="shared" si="1"/>
        <v>0</v>
      </c>
      <c r="H33" s="189">
        <v>1</v>
      </c>
      <c r="I33" s="89">
        <f t="shared" si="2"/>
        <v>0</v>
      </c>
      <c r="J33" s="89"/>
      <c r="K33" s="97"/>
      <c r="L33" s="98"/>
      <c r="M33" s="129"/>
    </row>
    <row r="34" spans="1:13" ht="12" customHeight="1">
      <c r="A34" s="129"/>
      <c r="B34" s="73"/>
      <c r="C34" s="226"/>
      <c r="D34" s="189"/>
      <c r="E34" s="96">
        <f t="shared" si="0"/>
        <v>0</v>
      </c>
      <c r="F34" s="189"/>
      <c r="G34" s="101">
        <f t="shared" si="1"/>
        <v>0</v>
      </c>
      <c r="H34" s="189">
        <v>1</v>
      </c>
      <c r="I34" s="89">
        <f t="shared" si="2"/>
        <v>0</v>
      </c>
      <c r="J34" s="89"/>
      <c r="K34" s="97"/>
      <c r="L34" s="98"/>
      <c r="M34" s="129"/>
    </row>
    <row r="35" spans="1:13" ht="12" customHeight="1">
      <c r="A35" s="129"/>
      <c r="B35" s="75"/>
      <c r="C35" s="226"/>
      <c r="D35" s="189"/>
      <c r="E35" s="96">
        <f t="shared" si="0"/>
        <v>0</v>
      </c>
      <c r="F35" s="189"/>
      <c r="G35" s="101">
        <f t="shared" si="1"/>
        <v>0</v>
      </c>
      <c r="H35" s="189">
        <v>1</v>
      </c>
      <c r="I35" s="89">
        <f t="shared" si="2"/>
        <v>0</v>
      </c>
      <c r="J35" s="89"/>
      <c r="K35" s="97"/>
      <c r="L35" s="98"/>
      <c r="M35" s="129"/>
    </row>
    <row r="36" spans="1:13" ht="12" customHeight="1">
      <c r="A36" s="129"/>
      <c r="B36" s="73"/>
      <c r="C36" s="226"/>
      <c r="D36" s="189"/>
      <c r="E36" s="96">
        <f t="shared" si="0"/>
        <v>0</v>
      </c>
      <c r="F36" s="189"/>
      <c r="G36" s="101">
        <f t="shared" si="1"/>
        <v>0</v>
      </c>
      <c r="H36" s="189">
        <v>1</v>
      </c>
      <c r="I36" s="89">
        <f t="shared" si="2"/>
        <v>0</v>
      </c>
      <c r="J36" s="89"/>
      <c r="K36" s="97"/>
      <c r="L36" s="98"/>
      <c r="M36" s="129"/>
    </row>
    <row r="37" spans="1:13" ht="12" customHeight="1">
      <c r="A37" s="129"/>
      <c r="B37" s="73"/>
      <c r="C37" s="226"/>
      <c r="D37" s="189"/>
      <c r="E37" s="96">
        <f t="shared" si="0"/>
        <v>0</v>
      </c>
      <c r="F37" s="189"/>
      <c r="G37" s="101">
        <f t="shared" si="1"/>
        <v>0</v>
      </c>
      <c r="H37" s="189">
        <v>1</v>
      </c>
      <c r="I37" s="89">
        <f t="shared" si="2"/>
        <v>0</v>
      </c>
      <c r="J37" s="89"/>
      <c r="K37" s="97"/>
      <c r="L37" s="98"/>
      <c r="M37" s="129"/>
    </row>
    <row r="38" spans="1:13" ht="12" customHeight="1">
      <c r="A38" s="129"/>
      <c r="B38" s="73"/>
      <c r="C38" s="226"/>
      <c r="D38" s="189"/>
      <c r="E38" s="96">
        <f t="shared" si="0"/>
        <v>0</v>
      </c>
      <c r="F38" s="189"/>
      <c r="G38" s="101">
        <f t="shared" si="1"/>
        <v>0</v>
      </c>
      <c r="H38" s="189">
        <v>1</v>
      </c>
      <c r="I38" s="89">
        <f t="shared" si="2"/>
        <v>0</v>
      </c>
      <c r="J38" s="89"/>
      <c r="K38" s="97"/>
      <c r="L38" s="98"/>
      <c r="M38" s="129"/>
    </row>
    <row r="39" spans="1:13" ht="12" customHeight="1">
      <c r="A39" s="129"/>
      <c r="B39" s="73"/>
      <c r="C39" s="226"/>
      <c r="D39" s="189"/>
      <c r="E39" s="96">
        <f t="shared" si="0"/>
        <v>0</v>
      </c>
      <c r="F39" s="189"/>
      <c r="G39" s="101">
        <f t="shared" si="1"/>
        <v>0</v>
      </c>
      <c r="H39" s="189">
        <v>1</v>
      </c>
      <c r="I39" s="89">
        <f t="shared" si="2"/>
        <v>0</v>
      </c>
      <c r="J39" s="89"/>
      <c r="K39" s="97"/>
      <c r="L39" s="98"/>
      <c r="M39" s="129"/>
    </row>
    <row r="40" spans="1:13" ht="12" customHeight="1">
      <c r="A40" s="129"/>
      <c r="B40" s="73"/>
      <c r="C40" s="226"/>
      <c r="D40" s="189"/>
      <c r="E40" s="96">
        <f t="shared" si="0"/>
        <v>0</v>
      </c>
      <c r="F40" s="189"/>
      <c r="G40" s="101">
        <f t="shared" si="1"/>
        <v>0</v>
      </c>
      <c r="H40" s="189">
        <v>1</v>
      </c>
      <c r="I40" s="89">
        <f t="shared" si="2"/>
        <v>0</v>
      </c>
      <c r="J40" s="89"/>
      <c r="K40" s="97"/>
      <c r="L40" s="98"/>
      <c r="M40" s="129"/>
    </row>
    <row r="41" spans="1:13" ht="12" customHeight="1">
      <c r="A41" s="129"/>
      <c r="B41" s="73"/>
      <c r="C41" s="226"/>
      <c r="D41" s="189"/>
      <c r="E41" s="96">
        <f t="shared" si="0"/>
        <v>0</v>
      </c>
      <c r="F41" s="189"/>
      <c r="G41" s="101">
        <f t="shared" si="1"/>
        <v>0</v>
      </c>
      <c r="H41" s="189">
        <v>1</v>
      </c>
      <c r="I41" s="89">
        <f t="shared" si="2"/>
        <v>0</v>
      </c>
      <c r="J41" s="89"/>
      <c r="K41" s="97"/>
      <c r="L41" s="98"/>
      <c r="M41" s="129"/>
    </row>
    <row r="42" spans="1:13" ht="12" customHeight="1">
      <c r="A42" s="129"/>
      <c r="B42" s="73"/>
      <c r="C42" s="226"/>
      <c r="D42" s="189"/>
      <c r="E42" s="96">
        <f t="shared" si="0"/>
        <v>0</v>
      </c>
      <c r="F42" s="189"/>
      <c r="G42" s="101">
        <f t="shared" si="1"/>
        <v>0</v>
      </c>
      <c r="H42" s="189">
        <v>1</v>
      </c>
      <c r="I42" s="89">
        <f t="shared" si="2"/>
        <v>0</v>
      </c>
      <c r="J42" s="89"/>
      <c r="K42" s="91" t="s">
        <v>107</v>
      </c>
      <c r="L42" s="92">
        <f>(J45-G45)*$K$7</f>
        <v>0</v>
      </c>
      <c r="M42" s="129"/>
    </row>
    <row r="43" spans="1:13" ht="12" customHeight="1" thickBot="1">
      <c r="A43" s="129"/>
      <c r="B43" s="73"/>
      <c r="C43" s="226"/>
      <c r="D43" s="189"/>
      <c r="E43" s="96">
        <f t="shared" si="0"/>
        <v>0</v>
      </c>
      <c r="F43" s="189"/>
      <c r="G43" s="101">
        <f t="shared" si="1"/>
        <v>0</v>
      </c>
      <c r="H43" s="189">
        <v>1</v>
      </c>
      <c r="I43" s="89">
        <f t="shared" si="2"/>
        <v>0</v>
      </c>
      <c r="J43" s="89"/>
      <c r="K43" s="91" t="s">
        <v>118</v>
      </c>
      <c r="L43" s="92">
        <f>(L45-J45)*$K$7</f>
        <v>4.000000000000002</v>
      </c>
      <c r="M43" s="129"/>
    </row>
    <row r="44" spans="1:13" ht="12" customHeight="1">
      <c r="A44" s="129"/>
      <c r="B44" s="73"/>
      <c r="C44" s="226"/>
      <c r="D44" s="189"/>
      <c r="E44" s="96">
        <f t="shared" si="0"/>
        <v>0</v>
      </c>
      <c r="F44" s="189"/>
      <c r="G44" s="101">
        <f t="shared" si="1"/>
        <v>0</v>
      </c>
      <c r="H44" s="189">
        <v>1</v>
      </c>
      <c r="I44" s="89">
        <f t="shared" si="2"/>
        <v>0</v>
      </c>
      <c r="J44" s="90"/>
      <c r="K44" s="93" t="s">
        <v>117</v>
      </c>
      <c r="L44" s="99">
        <f>IF(L12&lt;&gt;0,L45/L12,"?")</f>
        <v>0.6262359920896506</v>
      </c>
      <c r="M44" s="129"/>
    </row>
    <row r="45" spans="1:13" ht="13.5" customHeight="1" thickBot="1">
      <c r="A45" s="130"/>
      <c r="B45" s="144" t="s">
        <v>113</v>
      </c>
      <c r="C45" s="141"/>
      <c r="D45" s="141"/>
      <c r="E45" s="159">
        <f>SUM(E31:E44)</f>
        <v>2</v>
      </c>
      <c r="F45" s="160">
        <f>IF(E45&lt;&gt;0,(G45/E45)*60,0)</f>
        <v>28</v>
      </c>
      <c r="G45" s="141">
        <f>SUM(G31:G44)</f>
        <v>0.9333333333333333</v>
      </c>
      <c r="H45" s="160">
        <f>IF(G45&lt;&gt;0,I45/G45,0)</f>
        <v>1</v>
      </c>
      <c r="I45" s="141">
        <f>SUM(I31:I44)</f>
        <v>0.9333333333333333</v>
      </c>
      <c r="J45" s="142">
        <f>SUM(I31:I44)</f>
        <v>0.9333333333333333</v>
      </c>
      <c r="K45" s="193">
        <v>0.3</v>
      </c>
      <c r="L45" s="143">
        <f>J45/(1-K45)</f>
        <v>1.3333333333333335</v>
      </c>
      <c r="M45" s="130"/>
    </row>
    <row r="46" spans="1:13" ht="5.25" customHeight="1" thickBot="1">
      <c r="A46" s="129"/>
      <c r="B46" s="154"/>
      <c r="C46" s="56"/>
      <c r="D46" s="155"/>
      <c r="E46" s="56"/>
      <c r="F46" s="156"/>
      <c r="G46" s="156"/>
      <c r="H46" s="58"/>
      <c r="I46" s="149"/>
      <c r="J46" s="56"/>
      <c r="K46" s="157"/>
      <c r="L46" s="153"/>
      <c r="M46" s="129"/>
    </row>
    <row r="47" spans="1:14" ht="23.25" customHeight="1" hidden="1">
      <c r="A47" s="131" t="s">
        <v>48</v>
      </c>
      <c r="B47" s="20" t="s">
        <v>38</v>
      </c>
      <c r="C47" s="32" t="s">
        <v>27</v>
      </c>
      <c r="D47" s="46" t="s">
        <v>43</v>
      </c>
      <c r="E47" s="46" t="s">
        <v>44</v>
      </c>
      <c r="F47" s="39" t="s">
        <v>24</v>
      </c>
      <c r="G47" s="31" t="s">
        <v>36</v>
      </c>
      <c r="H47" s="32" t="s">
        <v>53</v>
      </c>
      <c r="I47" s="39" t="s">
        <v>28</v>
      </c>
      <c r="J47" s="32" t="s">
        <v>52</v>
      </c>
      <c r="K47" s="40" t="s">
        <v>29</v>
      </c>
      <c r="L47" s="41" t="s">
        <v>51</v>
      </c>
      <c r="M47" s="131" t="s">
        <v>48</v>
      </c>
      <c r="N47" s="87"/>
    </row>
    <row r="48" spans="1:14" ht="10.5" customHeight="1" hidden="1" thickBot="1">
      <c r="A48" s="131"/>
      <c r="B48" s="73"/>
      <c r="C48" s="45"/>
      <c r="D48" s="47">
        <f>$I$7/$L$7</f>
        <v>2</v>
      </c>
      <c r="E48" s="47">
        <f>C48*D48</f>
        <v>0</v>
      </c>
      <c r="F48" s="36">
        <f>E48/$I$7</f>
        <v>0</v>
      </c>
      <c r="G48" s="36">
        <f>F48</f>
        <v>0</v>
      </c>
      <c r="H48" s="29">
        <v>1</v>
      </c>
      <c r="I48" s="25">
        <f>(G48*H48)</f>
        <v>0</v>
      </c>
      <c r="J48" s="25"/>
      <c r="K48" s="37"/>
      <c r="L48" s="60"/>
      <c r="M48" s="131"/>
      <c r="N48" s="87"/>
    </row>
    <row r="49" spans="1:14" ht="10.5" customHeight="1" hidden="1" thickBot="1">
      <c r="A49" s="131"/>
      <c r="B49" s="73"/>
      <c r="C49" s="45"/>
      <c r="D49" s="47">
        <f>$I$7/$L$7</f>
        <v>2</v>
      </c>
      <c r="E49" s="47">
        <f>C49*D49</f>
        <v>0</v>
      </c>
      <c r="F49" s="36">
        <f>E49/$I$7</f>
        <v>0</v>
      </c>
      <c r="G49" s="36">
        <f>F49</f>
        <v>0</v>
      </c>
      <c r="H49" s="29">
        <v>1</v>
      </c>
      <c r="I49" s="25">
        <f>(G49*H49)</f>
        <v>0</v>
      </c>
      <c r="J49" s="25"/>
      <c r="K49" s="37"/>
      <c r="L49" s="60"/>
      <c r="M49" s="131"/>
      <c r="N49" s="87"/>
    </row>
    <row r="50" spans="1:14" ht="10.5" customHeight="1" hidden="1">
      <c r="A50" s="131"/>
      <c r="B50" s="73" t="s">
        <v>41</v>
      </c>
      <c r="C50" s="45">
        <v>0</v>
      </c>
      <c r="D50" s="47">
        <f>$I$7/$L$7</f>
        <v>2</v>
      </c>
      <c r="E50" s="49">
        <f>C50*D50</f>
        <v>0</v>
      </c>
      <c r="F50" s="36">
        <f>E50/$I$7</f>
        <v>0</v>
      </c>
      <c r="G50" s="36">
        <f>F50</f>
        <v>0</v>
      </c>
      <c r="H50" s="29">
        <v>1</v>
      </c>
      <c r="I50" s="25">
        <f>(G50*H50)</f>
        <v>0</v>
      </c>
      <c r="J50" s="25"/>
      <c r="K50" s="37" t="s">
        <v>37</v>
      </c>
      <c r="L50" s="60">
        <f>(J53-G53)*$K$7</f>
        <v>0</v>
      </c>
      <c r="M50" s="131"/>
      <c r="N50" s="87"/>
    </row>
    <row r="51" spans="1:14" ht="10.5" customHeight="1" hidden="1">
      <c r="A51" s="131"/>
      <c r="B51" s="73" t="s">
        <v>42</v>
      </c>
      <c r="C51" s="45">
        <v>0</v>
      </c>
      <c r="D51" s="47">
        <f>$I$7/$L$7</f>
        <v>2</v>
      </c>
      <c r="E51" s="47">
        <f>C51*D51</f>
        <v>0</v>
      </c>
      <c r="F51" s="36">
        <f>E51/$I$7</f>
        <v>0</v>
      </c>
      <c r="G51" s="36">
        <f>F51</f>
        <v>0</v>
      </c>
      <c r="H51" s="29">
        <v>1</v>
      </c>
      <c r="I51" s="25">
        <f>(G51*H51)</f>
        <v>0</v>
      </c>
      <c r="J51" s="25"/>
      <c r="K51" s="37" t="s">
        <v>46</v>
      </c>
      <c r="L51" s="60">
        <f>(L53-J53)*$K$7</f>
        <v>0</v>
      </c>
      <c r="M51" s="131"/>
      <c r="N51" s="87"/>
    </row>
    <row r="52" spans="1:14" ht="10.5" customHeight="1" hidden="1">
      <c r="A52" s="131"/>
      <c r="B52" s="73" t="s">
        <v>45</v>
      </c>
      <c r="C52" s="45">
        <v>0</v>
      </c>
      <c r="D52" s="47">
        <f>$I$7/$L$7</f>
        <v>2</v>
      </c>
      <c r="E52" s="47">
        <f>C52*D52</f>
        <v>0</v>
      </c>
      <c r="F52" s="36">
        <f>E52/$I$7</f>
        <v>0</v>
      </c>
      <c r="G52" s="36">
        <f>F52</f>
        <v>0</v>
      </c>
      <c r="H52" s="29">
        <v>1</v>
      </c>
      <c r="I52" s="25">
        <f>(G52*H52)</f>
        <v>0</v>
      </c>
      <c r="J52" s="42"/>
      <c r="K52" s="43" t="s">
        <v>29</v>
      </c>
      <c r="L52" s="61">
        <f>IF(L12&lt;&gt;0,L53/L12,"?")</f>
        <v>0</v>
      </c>
      <c r="M52" s="131"/>
      <c r="N52" s="87"/>
    </row>
    <row r="53" spans="1:14" ht="10.5" customHeight="1" hidden="1">
      <c r="A53" s="132" t="s">
        <v>49</v>
      </c>
      <c r="B53" s="76" t="s">
        <v>47</v>
      </c>
      <c r="C53" s="84"/>
      <c r="D53" s="84"/>
      <c r="E53" s="86"/>
      <c r="F53" s="84"/>
      <c r="G53" s="84">
        <f>SUM(G48:G52)</f>
        <v>0</v>
      </c>
      <c r="H53" s="84" t="str">
        <f>IF(G53&lt;&gt;0,I53/G53,"?")</f>
        <v>?</v>
      </c>
      <c r="I53" s="84">
        <f>SUM(I48:I52)</f>
        <v>0</v>
      </c>
      <c r="J53" s="85">
        <f>SUM(I50:I52)</f>
        <v>0</v>
      </c>
      <c r="K53" s="44">
        <v>0.25</v>
      </c>
      <c r="L53" s="62">
        <f>J53/(1-K53)</f>
        <v>0</v>
      </c>
      <c r="M53" s="132" t="s">
        <v>49</v>
      </c>
      <c r="N53" s="87"/>
    </row>
    <row r="54" spans="1:14" ht="5.25" customHeight="1" hidden="1" thickBot="1">
      <c r="A54" s="131"/>
      <c r="B54" s="63"/>
      <c r="C54" s="64"/>
      <c r="D54" s="65"/>
      <c r="E54" s="66"/>
      <c r="F54" s="67"/>
      <c r="G54" s="67"/>
      <c r="H54" s="68"/>
      <c r="I54" s="16"/>
      <c r="J54" s="64"/>
      <c r="K54" s="69"/>
      <c r="L54" s="70"/>
      <c r="M54" s="131"/>
      <c r="N54" s="87"/>
    </row>
    <row r="55" spans="1:13" ht="24.75" customHeight="1">
      <c r="A55" s="129"/>
      <c r="B55" s="20" t="s">
        <v>40</v>
      </c>
      <c r="C55" s="210" t="s">
        <v>27</v>
      </c>
      <c r="D55" s="5"/>
      <c r="E55" s="214" t="s">
        <v>105</v>
      </c>
      <c r="F55" s="209" t="s">
        <v>76</v>
      </c>
      <c r="G55" s="212" t="s">
        <v>78</v>
      </c>
      <c r="H55" s="162" t="s">
        <v>106</v>
      </c>
      <c r="I55" s="209" t="s">
        <v>104</v>
      </c>
      <c r="J55" s="210" t="s">
        <v>93</v>
      </c>
      <c r="K55" s="34" t="s">
        <v>102</v>
      </c>
      <c r="L55" s="41" t="s">
        <v>81</v>
      </c>
      <c r="M55" s="129"/>
    </row>
    <row r="56" spans="1:13" ht="12" customHeight="1">
      <c r="A56" s="129"/>
      <c r="B56" s="73"/>
      <c r="C56" s="194"/>
      <c r="D56" s="89"/>
      <c r="E56" s="100">
        <f>$I$7</f>
        <v>20</v>
      </c>
      <c r="F56" s="101">
        <f>C56/E56</f>
        <v>0</v>
      </c>
      <c r="G56" s="101">
        <f>F56</f>
        <v>0</v>
      </c>
      <c r="H56" s="189">
        <v>1</v>
      </c>
      <c r="I56" s="89">
        <f>(G56*H56)</f>
        <v>0</v>
      </c>
      <c r="J56" s="89"/>
      <c r="K56" s="91"/>
      <c r="L56" s="92"/>
      <c r="M56" s="129"/>
    </row>
    <row r="57" spans="1:13" ht="12" customHeight="1">
      <c r="A57" s="129"/>
      <c r="B57" s="73" t="s">
        <v>126</v>
      </c>
      <c r="C57" s="194"/>
      <c r="D57" s="89"/>
      <c r="E57" s="100">
        <f>$I$7</f>
        <v>20</v>
      </c>
      <c r="F57" s="101">
        <f>C57/E57</f>
        <v>0</v>
      </c>
      <c r="G57" s="101">
        <f>F57</f>
        <v>0</v>
      </c>
      <c r="H57" s="189">
        <v>1</v>
      </c>
      <c r="I57" s="89">
        <f>(G57*H57)</f>
        <v>0</v>
      </c>
      <c r="J57" s="89"/>
      <c r="K57" s="91"/>
      <c r="L57" s="92"/>
      <c r="M57" s="129"/>
    </row>
    <row r="58" spans="1:13" ht="12" customHeight="1">
      <c r="A58" s="129"/>
      <c r="B58" s="73" t="s">
        <v>122</v>
      </c>
      <c r="C58" s="194"/>
      <c r="D58" s="89"/>
      <c r="E58" s="100">
        <f>$I$7</f>
        <v>20</v>
      </c>
      <c r="F58" s="101">
        <f>C58/E58</f>
        <v>0</v>
      </c>
      <c r="G58" s="101">
        <f>F58</f>
        <v>0</v>
      </c>
      <c r="H58" s="189">
        <v>1</v>
      </c>
      <c r="I58" s="89">
        <f>(G58*H58)</f>
        <v>0</v>
      </c>
      <c r="J58" s="89"/>
      <c r="K58" s="91" t="s">
        <v>107</v>
      </c>
      <c r="L58" s="92">
        <f>(J61-G61)*$K$7</f>
        <v>0</v>
      </c>
      <c r="M58" s="129"/>
    </row>
    <row r="59" spans="1:13" ht="12" customHeight="1" thickBot="1">
      <c r="A59" s="129"/>
      <c r="B59" s="73" t="s">
        <v>119</v>
      </c>
      <c r="C59" s="194"/>
      <c r="D59" s="89"/>
      <c r="E59" s="100">
        <f>$I$7</f>
        <v>20</v>
      </c>
      <c r="F59" s="101">
        <f>C59/E59</f>
        <v>0</v>
      </c>
      <c r="G59" s="101">
        <f>F59</f>
        <v>0</v>
      </c>
      <c r="H59" s="189">
        <v>1</v>
      </c>
      <c r="I59" s="89">
        <f>(G59*H59)</f>
        <v>0</v>
      </c>
      <c r="J59" s="89"/>
      <c r="K59" s="91" t="s">
        <v>118</v>
      </c>
      <c r="L59" s="92">
        <f>(L61-J61)*$K$7</f>
        <v>0</v>
      </c>
      <c r="M59" s="129"/>
    </row>
    <row r="60" spans="1:13" ht="12" customHeight="1">
      <c r="A60" s="129"/>
      <c r="B60" s="73" t="s">
        <v>128</v>
      </c>
      <c r="C60" s="194"/>
      <c r="D60" s="89"/>
      <c r="E60" s="100">
        <f>$I$7</f>
        <v>20</v>
      </c>
      <c r="F60" s="101">
        <f>C60/E60</f>
        <v>0</v>
      </c>
      <c r="G60" s="101">
        <f>F60</f>
        <v>0</v>
      </c>
      <c r="H60" s="189">
        <v>1</v>
      </c>
      <c r="I60" s="89">
        <f>(G60*H60)</f>
        <v>0</v>
      </c>
      <c r="J60" s="90"/>
      <c r="K60" s="93" t="s">
        <v>117</v>
      </c>
      <c r="L60" s="99">
        <f>IF(L12&lt;&gt;0,L61/L12,"?")</f>
        <v>0</v>
      </c>
      <c r="M60" s="129"/>
    </row>
    <row r="61" spans="1:13" ht="13.5" customHeight="1" thickBot="1">
      <c r="A61" s="130"/>
      <c r="B61" s="114" t="s">
        <v>132</v>
      </c>
      <c r="C61" s="115"/>
      <c r="D61" s="115"/>
      <c r="E61" s="116"/>
      <c r="F61" s="115"/>
      <c r="G61" s="117">
        <f>SUM(G56:G60)</f>
        <v>0</v>
      </c>
      <c r="H61" s="117">
        <f>IF(G61&lt;&gt;0,I61/G61,0)</f>
        <v>0</v>
      </c>
      <c r="I61" s="115">
        <f>SUM(I56:I60)</f>
        <v>0</v>
      </c>
      <c r="J61" s="118">
        <f>SUM(I56:I60)</f>
        <v>0</v>
      </c>
      <c r="K61" s="192">
        <v>0.25</v>
      </c>
      <c r="L61" s="119">
        <f>J61/(1-K61)</f>
        <v>0</v>
      </c>
      <c r="M61" s="130"/>
    </row>
    <row r="62" spans="1:13" ht="5.25" customHeight="1" thickBot="1">
      <c r="A62" s="138"/>
      <c r="B62" s="133"/>
      <c r="C62" s="134"/>
      <c r="D62" s="134"/>
      <c r="E62" s="134"/>
      <c r="F62" s="134"/>
      <c r="G62" s="134"/>
      <c r="H62" s="134"/>
      <c r="I62" s="134"/>
      <c r="J62" s="135"/>
      <c r="K62" s="134"/>
      <c r="L62" s="136"/>
      <c r="M62" s="138"/>
    </row>
    <row r="63" spans="1:13" ht="12.75">
      <c r="A63" s="7"/>
      <c r="B63" s="13"/>
      <c r="C63" s="3"/>
      <c r="D63" s="3"/>
      <c r="E63" s="3"/>
      <c r="F63" s="50"/>
      <c r="G63" s="3"/>
      <c r="H63" s="3"/>
      <c r="I63" s="6"/>
      <c r="J63" s="3"/>
      <c r="M63" s="7"/>
    </row>
    <row r="64" spans="1:13" ht="12.75">
      <c r="A64" s="8"/>
      <c r="B64" s="26"/>
      <c r="C64" s="26"/>
      <c r="D64" s="26"/>
      <c r="E64" s="26"/>
      <c r="F64" s="26"/>
      <c r="G64" s="26"/>
      <c r="H64" s="4"/>
      <c r="I64" s="4"/>
      <c r="J64" s="6"/>
      <c r="K64" s="4"/>
      <c r="L64" s="53"/>
      <c r="M64" s="8"/>
    </row>
    <row r="65" spans="1:13" ht="12.75">
      <c r="A65" s="8"/>
      <c r="B65" s="7"/>
      <c r="C65" s="7"/>
      <c r="D65" s="7"/>
      <c r="E65" s="7"/>
      <c r="F65" s="7"/>
      <c r="G65" s="7"/>
      <c r="H65" s="4"/>
      <c r="I65" s="4"/>
      <c r="J65" s="6"/>
      <c r="K65" s="4"/>
      <c r="L65" s="54"/>
      <c r="M65" s="8"/>
    </row>
    <row r="66" spans="1:13" ht="13.5">
      <c r="A66" s="8"/>
      <c r="B66" s="7"/>
      <c r="C66" s="7"/>
      <c r="D66" s="7"/>
      <c r="E66" s="7"/>
      <c r="F66" s="7"/>
      <c r="G66" s="7"/>
      <c r="H66" s="4"/>
      <c r="I66" s="4"/>
      <c r="J66" s="6"/>
      <c r="K66" s="4"/>
      <c r="L66" s="53"/>
      <c r="M66" s="8"/>
    </row>
    <row r="67" spans="1:13" ht="13.5">
      <c r="A67" s="8"/>
      <c r="B67" s="7"/>
      <c r="C67" s="7"/>
      <c r="D67" s="7"/>
      <c r="E67" s="7"/>
      <c r="F67" s="7"/>
      <c r="G67" s="7"/>
      <c r="H67" s="8"/>
      <c r="I67" s="8"/>
      <c r="J67" s="8"/>
      <c r="K67" s="8"/>
      <c r="L67" s="8"/>
      <c r="M67" s="8"/>
    </row>
    <row r="68" spans="1:13" ht="13.5">
      <c r="A68" s="8"/>
      <c r="B68" s="7"/>
      <c r="C68" s="7"/>
      <c r="D68" s="7"/>
      <c r="E68" s="7"/>
      <c r="F68" s="7"/>
      <c r="G68" s="7"/>
      <c r="H68" s="8"/>
      <c r="I68" s="8"/>
      <c r="J68" s="8"/>
      <c r="K68" s="8"/>
      <c r="L68" s="8"/>
      <c r="M68" s="8"/>
    </row>
    <row r="69" spans="1:13" ht="13.5">
      <c r="A69" s="7"/>
      <c r="B69" s="8"/>
      <c r="C69" s="7"/>
      <c r="D69" s="7"/>
      <c r="E69" s="7"/>
      <c r="F69" s="7"/>
      <c r="G69" s="7"/>
      <c r="H69" s="7"/>
      <c r="I69" s="7"/>
      <c r="J69" s="7"/>
      <c r="K69" s="8"/>
      <c r="L69" s="7"/>
      <c r="M69" s="7"/>
    </row>
    <row r="70" spans="1:13" ht="13.5">
      <c r="A70" s="7"/>
      <c r="B70" s="8"/>
      <c r="C70" s="9"/>
      <c r="D70" s="8"/>
      <c r="E70" s="7"/>
      <c r="F70" s="7"/>
      <c r="G70" s="7"/>
      <c r="H70" s="7"/>
      <c r="I70" s="7"/>
      <c r="J70" s="7"/>
      <c r="K70" s="8"/>
      <c r="L70" s="7"/>
      <c r="M70" s="7"/>
    </row>
    <row r="71" spans="1:13" ht="13.5">
      <c r="A71" s="7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</row>
    <row r="72" spans="1:13" ht="13.5">
      <c r="A72" s="7"/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  <c r="M72" s="7"/>
    </row>
    <row r="73" spans="1:13" ht="13.5">
      <c r="A73" s="7"/>
      <c r="B73" s="7"/>
      <c r="C73" s="7"/>
      <c r="D73" s="7"/>
      <c r="E73" s="7"/>
      <c r="F73" s="7"/>
      <c r="G73" s="7"/>
      <c r="H73" s="8"/>
      <c r="I73" s="8"/>
      <c r="J73" s="7"/>
      <c r="K73" s="7"/>
      <c r="L73" s="7"/>
      <c r="M73" s="7"/>
    </row>
    <row r="74" spans="1:13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3.5">
      <c r="A75" s="7"/>
      <c r="B75" s="1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3.5">
      <c r="A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3.5">
      <c r="A80" s="7"/>
      <c r="B80" s="7"/>
      <c r="C80" s="26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3.5">
      <c r="A84" s="7"/>
      <c r="B84" s="11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3.5">
      <c r="A85" s="7"/>
      <c r="B85" s="7"/>
      <c r="C85" s="12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3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3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3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3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3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3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3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3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3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3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3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3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3.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3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3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3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3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3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3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3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3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3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3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3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3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3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3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3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3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3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3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3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3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3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3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3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</sheetData>
  <sheetProtection/>
  <mergeCells count="16">
    <mergeCell ref="F2:H2"/>
    <mergeCell ref="I2:J2"/>
    <mergeCell ref="C5:E5"/>
    <mergeCell ref="F5:L5"/>
    <mergeCell ref="C4:E4"/>
    <mergeCell ref="F4:L4"/>
    <mergeCell ref="N18:P23"/>
    <mergeCell ref="G6:H7"/>
    <mergeCell ref="B2:B3"/>
    <mergeCell ref="C2:E2"/>
    <mergeCell ref="B6:B7"/>
    <mergeCell ref="G8:L9"/>
    <mergeCell ref="K2:L2"/>
    <mergeCell ref="C3:E3"/>
    <mergeCell ref="F3:L3"/>
    <mergeCell ref="B4:B5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0"/>
  <sheetViews>
    <sheetView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O9" sqref="O9"/>
    </sheetView>
  </sheetViews>
  <sheetFormatPr defaultColWidth="9.140625" defaultRowHeight="12.75"/>
  <cols>
    <col min="1" max="1" width="0.71875" style="1" customWidth="1"/>
    <col min="2" max="2" width="28.28125" style="1" customWidth="1"/>
    <col min="3" max="7" width="8.7109375" style="1" customWidth="1"/>
    <col min="8" max="8" width="9.7109375" style="1" customWidth="1"/>
    <col min="9" max="11" width="8.7109375" style="1" customWidth="1"/>
    <col min="12" max="12" width="9.28125" style="1" customWidth="1"/>
    <col min="13" max="13" width="0.71875" style="1" customWidth="1"/>
    <col min="76" max="16384" width="9.140625" style="1" customWidth="1"/>
  </cols>
  <sheetData>
    <row r="1" spans="1:13" ht="5.25" customHeight="1" thickBot="1">
      <c r="A1" s="138"/>
      <c r="B1" s="133"/>
      <c r="C1" s="134"/>
      <c r="D1" s="134"/>
      <c r="E1" s="134"/>
      <c r="F1" s="134"/>
      <c r="G1" s="134"/>
      <c r="H1" s="134"/>
      <c r="I1" s="134"/>
      <c r="J1" s="135"/>
      <c r="K1" s="134"/>
      <c r="L1" s="136"/>
      <c r="M1" s="138"/>
    </row>
    <row r="2" spans="1:14" ht="15" customHeight="1">
      <c r="A2" s="128"/>
      <c r="B2" s="284"/>
      <c r="C2" s="239" t="s">
        <v>114</v>
      </c>
      <c r="D2" s="240"/>
      <c r="E2" s="241"/>
      <c r="F2" s="294" t="str">
        <f>Product!F2</f>
        <v>Kari Kolehmainen</v>
      </c>
      <c r="G2" s="295"/>
      <c r="H2" s="245"/>
      <c r="I2" s="233" t="s">
        <v>73</v>
      </c>
      <c r="J2" s="234"/>
      <c r="K2" s="286" t="str">
        <f>Product!K2</f>
        <v>22.1 2014</v>
      </c>
      <c r="L2" s="287"/>
      <c r="M2" s="128"/>
      <c r="N2" t="s">
        <v>31</v>
      </c>
    </row>
    <row r="3" spans="1:14" ht="15" customHeight="1">
      <c r="A3" s="123"/>
      <c r="B3" s="285"/>
      <c r="C3" s="288" t="s">
        <v>69</v>
      </c>
      <c r="D3" s="289"/>
      <c r="E3" s="290"/>
      <c r="F3" s="291">
        <f>Product!F3</f>
        <v>0</v>
      </c>
      <c r="G3" s="292"/>
      <c r="H3" s="292"/>
      <c r="I3" s="292"/>
      <c r="J3" s="292"/>
      <c r="K3" s="292"/>
      <c r="L3" s="293"/>
      <c r="M3" s="123"/>
      <c r="N3" t="s">
        <v>30</v>
      </c>
    </row>
    <row r="4" spans="1:14" ht="15" customHeight="1">
      <c r="A4" s="129"/>
      <c r="B4" s="273" t="s">
        <v>67</v>
      </c>
      <c r="C4" s="288" t="s">
        <v>70</v>
      </c>
      <c r="D4" s="289"/>
      <c r="E4" s="290"/>
      <c r="F4" s="291" t="s">
        <v>161</v>
      </c>
      <c r="G4" s="292"/>
      <c r="H4" s="292"/>
      <c r="I4" s="292"/>
      <c r="J4" s="292"/>
      <c r="K4" s="292"/>
      <c r="L4" s="293"/>
      <c r="M4" s="129"/>
      <c r="N4" t="s">
        <v>59</v>
      </c>
    </row>
    <row r="5" spans="1:14" ht="15" customHeight="1" thickBot="1">
      <c r="A5" s="129"/>
      <c r="B5" s="273"/>
      <c r="C5" s="288"/>
      <c r="D5" s="289"/>
      <c r="E5" s="290"/>
      <c r="F5" s="296" t="s">
        <v>146</v>
      </c>
      <c r="G5" s="297"/>
      <c r="H5" s="297"/>
      <c r="I5" s="297"/>
      <c r="J5" s="297"/>
      <c r="K5" s="297"/>
      <c r="L5" s="298"/>
      <c r="M5" s="129"/>
      <c r="N5" s="187" t="s">
        <v>58</v>
      </c>
    </row>
    <row r="6" spans="1:14" ht="12.75" customHeight="1">
      <c r="A6" s="129"/>
      <c r="B6" s="273" t="s">
        <v>74</v>
      </c>
      <c r="C6" s="79" t="s">
        <v>71</v>
      </c>
      <c r="D6" s="77"/>
      <c r="E6" s="77"/>
      <c r="F6" s="197" t="s">
        <v>90</v>
      </c>
      <c r="G6" s="277"/>
      <c r="H6" s="278"/>
      <c r="I6" s="174" t="s">
        <v>98</v>
      </c>
      <c r="J6" s="113"/>
      <c r="K6" s="176" t="s">
        <v>99</v>
      </c>
      <c r="L6" s="113" t="s">
        <v>39</v>
      </c>
      <c r="M6" s="129"/>
      <c r="N6" t="s">
        <v>32</v>
      </c>
    </row>
    <row r="7" spans="1:14" ht="12.75" customHeight="1" thickBot="1">
      <c r="A7" s="129"/>
      <c r="B7" s="273"/>
      <c r="C7" s="80"/>
      <c r="D7" s="78"/>
      <c r="E7" s="78"/>
      <c r="F7" s="198" t="s">
        <v>50</v>
      </c>
      <c r="G7" s="279"/>
      <c r="H7" s="280"/>
      <c r="I7" s="185">
        <v>40</v>
      </c>
      <c r="J7" s="177" t="s">
        <v>56</v>
      </c>
      <c r="K7" s="196">
        <v>20</v>
      </c>
      <c r="L7" s="195">
        <v>20</v>
      </c>
      <c r="M7" s="129"/>
      <c r="N7" t="s">
        <v>33</v>
      </c>
    </row>
    <row r="8" spans="1:13" ht="19.5" customHeight="1" thickBot="1">
      <c r="A8" s="129"/>
      <c r="B8" s="27"/>
      <c r="C8" s="14"/>
      <c r="D8" s="55"/>
      <c r="E8" s="82"/>
      <c r="F8" s="48"/>
      <c r="G8" s="269" t="s">
        <v>112</v>
      </c>
      <c r="H8" s="269"/>
      <c r="I8" s="269"/>
      <c r="J8" s="269"/>
      <c r="K8" s="269"/>
      <c r="L8" s="270"/>
      <c r="M8" s="129"/>
    </row>
    <row r="9" spans="1:13" ht="19.5" customHeight="1" thickBot="1">
      <c r="A9" s="129"/>
      <c r="B9" s="15"/>
      <c r="C9" s="63"/>
      <c r="D9" s="72"/>
      <c r="E9" s="215" t="s">
        <v>110</v>
      </c>
      <c r="F9" s="221">
        <v>2</v>
      </c>
      <c r="G9" s="271"/>
      <c r="H9" s="271"/>
      <c r="I9" s="271"/>
      <c r="J9" s="271"/>
      <c r="K9" s="271"/>
      <c r="L9" s="272"/>
      <c r="M9" s="129"/>
    </row>
    <row r="10" spans="1:13" ht="5.25" customHeight="1" thickBot="1">
      <c r="A10" s="129"/>
      <c r="B10" s="124"/>
      <c r="C10" s="125"/>
      <c r="D10" s="121"/>
      <c r="E10" s="125"/>
      <c r="F10" s="121"/>
      <c r="G10" s="121"/>
      <c r="H10" s="125"/>
      <c r="I10" s="121"/>
      <c r="J10" s="125"/>
      <c r="K10" s="126"/>
      <c r="L10" s="127"/>
      <c r="M10" s="129"/>
    </row>
    <row r="11" spans="1:13" ht="24.75" customHeight="1" thickBot="1">
      <c r="A11" s="129"/>
      <c r="B11" s="17" t="s">
        <v>85</v>
      </c>
      <c r="C11" s="18"/>
      <c r="D11" s="19"/>
      <c r="E11" s="213" t="s">
        <v>109</v>
      </c>
      <c r="F11" s="216" t="s">
        <v>89</v>
      </c>
      <c r="G11" s="21" t="s">
        <v>95</v>
      </c>
      <c r="H11" s="213" t="s">
        <v>107</v>
      </c>
      <c r="I11" s="216" t="s">
        <v>108</v>
      </c>
      <c r="J11" s="213" t="s">
        <v>93</v>
      </c>
      <c r="K11" s="218" t="s">
        <v>101</v>
      </c>
      <c r="L11" s="23" t="s">
        <v>81</v>
      </c>
      <c r="M11" s="129"/>
    </row>
    <row r="12" spans="1:13" ht="13.5" thickBot="1">
      <c r="A12" s="130"/>
      <c r="B12" s="14"/>
      <c r="C12" s="2"/>
      <c r="D12" s="3"/>
      <c r="E12" s="102">
        <f>IF($E$45&lt;&gt;0,(60/$E$45*(L12-J12)),0)</f>
        <v>37.45381540808545</v>
      </c>
      <c r="F12" s="103">
        <f>(E45/60)*$I$7</f>
        <v>1</v>
      </c>
      <c r="G12" s="111">
        <f>G21+G28+G45+G53+G61</f>
        <v>3.991666666666667</v>
      </c>
      <c r="H12" s="104">
        <f>(J12-G12)*$K$7</f>
        <v>3.483999999999998</v>
      </c>
      <c r="I12" s="104">
        <f>(L12-J12)*$K$7</f>
        <v>18.726907704042723</v>
      </c>
      <c r="J12" s="105">
        <f>SUM(J17:J61)</f>
        <v>4.165866666666667</v>
      </c>
      <c r="K12" s="106">
        <f>IF(L12&lt;&gt;0,(L12-J12)/L12,0)</f>
        <v>0.18351753625355066</v>
      </c>
      <c r="L12" s="107">
        <f>L21+L28+L45+L53+L61</f>
        <v>5.102212051868803</v>
      </c>
      <c r="M12" s="130"/>
    </row>
    <row r="13" spans="1:13" ht="13.5" thickBot="1">
      <c r="A13" s="129"/>
      <c r="B13" s="13"/>
      <c r="C13" s="2"/>
      <c r="D13" s="3"/>
      <c r="E13" s="3"/>
      <c r="F13" s="3"/>
      <c r="G13" s="3"/>
      <c r="H13" s="3"/>
      <c r="I13" s="3"/>
      <c r="J13" s="3"/>
      <c r="K13" s="3"/>
      <c r="L13" s="108" t="s">
        <v>94</v>
      </c>
      <c r="M13" s="129"/>
    </row>
    <row r="14" spans="1:13" ht="13.5" thickBot="1">
      <c r="A14" s="129"/>
      <c r="B14" s="15"/>
      <c r="C14" s="71"/>
      <c r="D14" s="16"/>
      <c r="E14" s="102">
        <f>IF($E$45&lt;&gt;0,(60/$E$45*(L14-J12)),0)</f>
        <v>37.365333333333304</v>
      </c>
      <c r="F14" s="56"/>
      <c r="G14" s="112">
        <f>G12</f>
        <v>3.991666666666667</v>
      </c>
      <c r="H14" s="57"/>
      <c r="I14" s="104">
        <f>(L14-J12)*$K$7</f>
        <v>18.682666666666652</v>
      </c>
      <c r="J14" s="58"/>
      <c r="K14" s="106">
        <f>IF(L14&lt;&gt;0,(L14-J12)/L14,"?")</f>
        <v>0.18316339869281031</v>
      </c>
      <c r="L14" s="188">
        <v>5.1</v>
      </c>
      <c r="M14" s="129"/>
    </row>
    <row r="15" spans="1:13" ht="5.25" customHeight="1" thickBot="1">
      <c r="A15" s="129"/>
      <c r="B15" s="120"/>
      <c r="C15" s="121"/>
      <c r="D15" s="121"/>
      <c r="E15" s="121"/>
      <c r="F15" s="121"/>
      <c r="G15" s="121"/>
      <c r="H15" s="121"/>
      <c r="I15" s="121"/>
      <c r="J15" s="122"/>
      <c r="K15" s="121"/>
      <c r="L15" s="123"/>
      <c r="M15" s="129"/>
    </row>
    <row r="16" spans="1:13" ht="24.75" customHeight="1">
      <c r="A16" s="129"/>
      <c r="B16" s="24" t="s">
        <v>82</v>
      </c>
      <c r="C16" s="210" t="s">
        <v>63</v>
      </c>
      <c r="D16" s="210" t="s">
        <v>64</v>
      </c>
      <c r="E16" s="211" t="s">
        <v>86</v>
      </c>
      <c r="F16" s="210" t="s">
        <v>76</v>
      </c>
      <c r="G16" s="212" t="s">
        <v>78</v>
      </c>
      <c r="H16" s="162" t="s">
        <v>106</v>
      </c>
      <c r="I16" s="210" t="s">
        <v>87</v>
      </c>
      <c r="J16" s="211" t="s">
        <v>93</v>
      </c>
      <c r="K16" s="161"/>
      <c r="L16" s="163" t="s">
        <v>81</v>
      </c>
      <c r="M16" s="129"/>
    </row>
    <row r="17" spans="1:13" ht="12" customHeight="1" thickBot="1">
      <c r="A17" s="129"/>
      <c r="B17" s="73" t="s">
        <v>8</v>
      </c>
      <c r="C17" s="29">
        <v>1.3</v>
      </c>
      <c r="D17" s="29">
        <v>2.2</v>
      </c>
      <c r="E17" s="226">
        <v>1</v>
      </c>
      <c r="F17" s="189">
        <f>D17*C17</f>
        <v>2.8600000000000003</v>
      </c>
      <c r="G17" s="101">
        <f>(E17*F17)</f>
        <v>2.8600000000000003</v>
      </c>
      <c r="H17" s="189">
        <v>1.05</v>
      </c>
      <c r="I17" s="89">
        <f>(G17*H17)</f>
        <v>3.0030000000000006</v>
      </c>
      <c r="J17" s="89"/>
      <c r="K17" s="89"/>
      <c r="L17" s="98"/>
      <c r="M17" s="129"/>
    </row>
    <row r="18" spans="1:16" ht="12" customHeight="1">
      <c r="A18" s="129"/>
      <c r="B18" s="73"/>
      <c r="C18" s="29"/>
      <c r="D18" s="29"/>
      <c r="E18" s="226"/>
      <c r="F18" s="189"/>
      <c r="G18" s="101">
        <f>(E18*F18)</f>
        <v>0</v>
      </c>
      <c r="H18" s="189">
        <v>1.08</v>
      </c>
      <c r="I18" s="89">
        <f>(G18*H18)</f>
        <v>0</v>
      </c>
      <c r="J18" s="89"/>
      <c r="K18" s="91" t="s">
        <v>107</v>
      </c>
      <c r="L18" s="92">
        <f>(J21-G21)*$K$7</f>
        <v>2.8600000000000048</v>
      </c>
      <c r="M18" s="129"/>
      <c r="N18" s="281" t="s">
        <v>55</v>
      </c>
      <c r="O18" s="259"/>
      <c r="P18" s="260"/>
    </row>
    <row r="19" spans="1:16" ht="12" customHeight="1" thickBot="1">
      <c r="A19" s="129"/>
      <c r="B19" s="73"/>
      <c r="C19" s="29"/>
      <c r="D19" s="29"/>
      <c r="E19" s="226"/>
      <c r="F19" s="189"/>
      <c r="G19" s="101">
        <f>(E19*F19)</f>
        <v>0</v>
      </c>
      <c r="H19" s="189">
        <v>1.08</v>
      </c>
      <c r="I19" s="89">
        <f>(G19*H19)</f>
        <v>0</v>
      </c>
      <c r="J19" s="89"/>
      <c r="K19" s="91" t="s">
        <v>118</v>
      </c>
      <c r="L19" s="92">
        <f>(L21-J21)*$K$7</f>
        <v>3.161052631578949</v>
      </c>
      <c r="M19" s="129"/>
      <c r="N19" s="282"/>
      <c r="O19" s="261"/>
      <c r="P19" s="262"/>
    </row>
    <row r="20" spans="1:16" ht="12" customHeight="1">
      <c r="A20" s="129"/>
      <c r="B20" s="74"/>
      <c r="C20" s="30"/>
      <c r="D20" s="30"/>
      <c r="E20" s="226"/>
      <c r="F20" s="190"/>
      <c r="G20" s="101">
        <f>(E20*F20)</f>
        <v>0</v>
      </c>
      <c r="H20" s="191">
        <v>1.08</v>
      </c>
      <c r="I20" s="89">
        <f>(G20*H20)</f>
        <v>0</v>
      </c>
      <c r="J20" s="90"/>
      <c r="K20" s="93" t="s">
        <v>117</v>
      </c>
      <c r="L20" s="95">
        <f>IF(L12&lt;&gt;0,L21/L12,"?")</f>
        <v>0.6195455224996262</v>
      </c>
      <c r="M20" s="129"/>
      <c r="N20" s="282"/>
      <c r="O20" s="261"/>
      <c r="P20" s="262"/>
    </row>
    <row r="21" spans="1:16" ht="13.5" customHeight="1" thickBot="1">
      <c r="A21" s="130"/>
      <c r="B21" s="140" t="s">
        <v>88</v>
      </c>
      <c r="C21" s="141"/>
      <c r="D21" s="141"/>
      <c r="E21" s="141"/>
      <c r="F21" s="141"/>
      <c r="G21" s="160">
        <f>SUM(G17:G20)</f>
        <v>2.8600000000000003</v>
      </c>
      <c r="H21" s="160">
        <f>IF(G21&lt;&gt;0,I21/G21,0)</f>
        <v>1.05</v>
      </c>
      <c r="I21" s="141">
        <f>SUM(I17:I20)</f>
        <v>3.0030000000000006</v>
      </c>
      <c r="J21" s="142">
        <f>SUM(I17:I20)</f>
        <v>3.0030000000000006</v>
      </c>
      <c r="K21" s="193">
        <v>0.05</v>
      </c>
      <c r="L21" s="143">
        <f>J21/(1-K21)</f>
        <v>3.161052631578948</v>
      </c>
      <c r="M21" s="130"/>
      <c r="N21" s="282"/>
      <c r="O21" s="261"/>
      <c r="P21" s="262"/>
    </row>
    <row r="22" spans="1:16" ht="5.25" customHeight="1" thickBot="1">
      <c r="A22" s="129"/>
      <c r="B22" s="147"/>
      <c r="C22" s="56"/>
      <c r="D22" s="56"/>
      <c r="E22" s="148"/>
      <c r="F22" s="56"/>
      <c r="G22" s="149"/>
      <c r="H22" s="149"/>
      <c r="I22" s="105"/>
      <c r="J22" s="56"/>
      <c r="K22" s="150"/>
      <c r="L22" s="151"/>
      <c r="M22" s="129"/>
      <c r="N22" s="282"/>
      <c r="O22" s="261"/>
      <c r="P22" s="262"/>
    </row>
    <row r="23" spans="1:16" ht="24.75" customHeight="1" thickBot="1">
      <c r="A23" s="129"/>
      <c r="B23" s="24" t="s">
        <v>84</v>
      </c>
      <c r="C23" s="210" t="s">
        <v>34</v>
      </c>
      <c r="D23" s="210" t="s">
        <v>35</v>
      </c>
      <c r="E23" s="211" t="s">
        <v>86</v>
      </c>
      <c r="F23" s="210" t="s">
        <v>76</v>
      </c>
      <c r="G23" s="212" t="s">
        <v>78</v>
      </c>
      <c r="H23" s="217" t="s">
        <v>106</v>
      </c>
      <c r="I23" s="210" t="s">
        <v>104</v>
      </c>
      <c r="J23" s="211" t="s">
        <v>93</v>
      </c>
      <c r="K23" s="161"/>
      <c r="L23" s="163" t="s">
        <v>81</v>
      </c>
      <c r="M23" s="129"/>
      <c r="N23" s="283"/>
      <c r="O23" s="263"/>
      <c r="P23" s="264"/>
    </row>
    <row r="24" spans="1:16" ht="12" customHeight="1">
      <c r="A24" s="129"/>
      <c r="B24" s="73" t="s">
        <v>4</v>
      </c>
      <c r="C24" s="29"/>
      <c r="D24" s="29"/>
      <c r="E24" s="226">
        <v>1</v>
      </c>
      <c r="F24" s="189">
        <f>C17/500*150</f>
        <v>0.38999999999999996</v>
      </c>
      <c r="G24" s="101">
        <f>(E24*F24)</f>
        <v>0.38999999999999996</v>
      </c>
      <c r="H24" s="189">
        <v>1.08</v>
      </c>
      <c r="I24" s="89">
        <f>(G24*H24)</f>
        <v>0.42119999999999996</v>
      </c>
      <c r="J24" s="89"/>
      <c r="K24" s="91"/>
      <c r="L24" s="92"/>
      <c r="M24" s="129"/>
      <c r="N24" s="38"/>
      <c r="O24" s="38"/>
      <c r="P24" s="38"/>
    </row>
    <row r="25" spans="1:16" ht="12" customHeight="1">
      <c r="A25" s="129"/>
      <c r="B25" s="73"/>
      <c r="C25" s="29"/>
      <c r="D25" s="29"/>
      <c r="E25" s="226"/>
      <c r="F25" s="189"/>
      <c r="G25" s="101">
        <f>(E25*F25)</f>
        <v>0</v>
      </c>
      <c r="H25" s="189">
        <v>1.08</v>
      </c>
      <c r="I25" s="89">
        <f>(G25*H25)</f>
        <v>0</v>
      </c>
      <c r="J25" s="89"/>
      <c r="K25" s="91" t="s">
        <v>107</v>
      </c>
      <c r="L25" s="92">
        <f>(J28-G28)*$K$7</f>
        <v>0.6240000000000001</v>
      </c>
      <c r="M25" s="129"/>
      <c r="N25" s="38"/>
      <c r="O25" s="38"/>
      <c r="P25" s="38"/>
    </row>
    <row r="26" spans="1:16" ht="12" customHeight="1" thickBot="1">
      <c r="A26" s="129"/>
      <c r="B26" s="73"/>
      <c r="C26" s="29"/>
      <c r="D26" s="29"/>
      <c r="E26" s="226"/>
      <c r="F26" s="189"/>
      <c r="G26" s="101">
        <f>(E26*F26)</f>
        <v>0</v>
      </c>
      <c r="H26" s="189">
        <v>1.08</v>
      </c>
      <c r="I26" s="89">
        <f>(G26*H26)</f>
        <v>0</v>
      </c>
      <c r="J26" s="89"/>
      <c r="K26" s="91" t="s">
        <v>118</v>
      </c>
      <c r="L26" s="92">
        <f>(L28-J28)*$K$7</f>
        <v>0.732521739130434</v>
      </c>
      <c r="M26" s="129"/>
      <c r="N26" s="38"/>
      <c r="O26" s="38"/>
      <c r="P26" s="38"/>
    </row>
    <row r="27" spans="1:16" ht="12" customHeight="1">
      <c r="A27" s="129"/>
      <c r="B27" s="73"/>
      <c r="C27" s="29"/>
      <c r="D27" s="29"/>
      <c r="E27" s="226"/>
      <c r="F27" s="189"/>
      <c r="G27" s="101">
        <f>(E27*F27)</f>
        <v>0</v>
      </c>
      <c r="H27" s="189">
        <v>1.08</v>
      </c>
      <c r="I27" s="89">
        <f>(G27*H27)</f>
        <v>0</v>
      </c>
      <c r="J27" s="90"/>
      <c r="K27" s="93" t="s">
        <v>117</v>
      </c>
      <c r="L27" s="99">
        <f>IF(L12&lt;&gt;0,L28/L12,"?")</f>
        <v>0.08973090148004183</v>
      </c>
      <c r="M27" s="129"/>
      <c r="N27" s="38"/>
      <c r="O27" s="38"/>
      <c r="P27" s="38"/>
    </row>
    <row r="28" spans="1:13" ht="13.5" customHeight="1" thickBot="1">
      <c r="A28" s="130"/>
      <c r="B28" s="140" t="s">
        <v>120</v>
      </c>
      <c r="C28" s="141"/>
      <c r="D28" s="141"/>
      <c r="E28" s="141"/>
      <c r="F28" s="141"/>
      <c r="G28" s="160">
        <f>SUM(G24:G27)</f>
        <v>0.38999999999999996</v>
      </c>
      <c r="H28" s="160">
        <f>IF(G28&lt;&gt;0,I28/G28,0)</f>
        <v>1.08</v>
      </c>
      <c r="I28" s="141">
        <f>SUM(I24:I27)</f>
        <v>0.42119999999999996</v>
      </c>
      <c r="J28" s="142">
        <f>SUM(I24:I27)</f>
        <v>0.42119999999999996</v>
      </c>
      <c r="K28" s="193">
        <v>0.08</v>
      </c>
      <c r="L28" s="143">
        <f>J28/(1-K28)</f>
        <v>0.45782608695652166</v>
      </c>
      <c r="M28" s="130"/>
    </row>
    <row r="29" spans="1:13" ht="5.25" customHeight="1" thickBot="1">
      <c r="A29" s="129"/>
      <c r="B29" s="17"/>
      <c r="C29" s="56"/>
      <c r="D29" s="56"/>
      <c r="E29" s="148"/>
      <c r="F29" s="56"/>
      <c r="G29" s="149"/>
      <c r="H29" s="152"/>
      <c r="I29" s="58"/>
      <c r="J29" s="56"/>
      <c r="K29" s="150"/>
      <c r="L29" s="153"/>
      <c r="M29" s="129"/>
    </row>
    <row r="30" spans="1:13" ht="24.75" customHeight="1">
      <c r="A30" s="129"/>
      <c r="B30" s="24" t="s">
        <v>83</v>
      </c>
      <c r="C30" s="210" t="s">
        <v>77</v>
      </c>
      <c r="D30" s="210" t="s">
        <v>26</v>
      </c>
      <c r="E30" s="211" t="s">
        <v>121</v>
      </c>
      <c r="F30" s="210" t="s">
        <v>25</v>
      </c>
      <c r="G30" s="212" t="s">
        <v>78</v>
      </c>
      <c r="H30" s="217" t="s">
        <v>106</v>
      </c>
      <c r="I30" s="210" t="s">
        <v>76</v>
      </c>
      <c r="J30" s="211" t="s">
        <v>93</v>
      </c>
      <c r="K30" s="34" t="s">
        <v>102</v>
      </c>
      <c r="L30" s="35" t="s">
        <v>81</v>
      </c>
      <c r="M30" s="129"/>
    </row>
    <row r="31" spans="1:13" ht="12" customHeight="1">
      <c r="A31" s="129"/>
      <c r="B31" s="73" t="s">
        <v>5</v>
      </c>
      <c r="C31" s="226">
        <v>1</v>
      </c>
      <c r="D31" s="189">
        <v>1</v>
      </c>
      <c r="E31" s="96">
        <f aca="true" t="shared" si="0" ref="E31:E44">C31*D31</f>
        <v>1</v>
      </c>
      <c r="F31" s="189">
        <v>30</v>
      </c>
      <c r="G31" s="101">
        <f aca="true" t="shared" si="1" ref="G31:G44">E31/60*F31</f>
        <v>0.5</v>
      </c>
      <c r="H31" s="189">
        <v>1</v>
      </c>
      <c r="I31" s="89">
        <f aca="true" t="shared" si="2" ref="I31:I44">(G31*H31)</f>
        <v>0.5</v>
      </c>
      <c r="J31" s="89"/>
      <c r="K31" s="97"/>
      <c r="L31" s="98"/>
      <c r="M31" s="129"/>
    </row>
    <row r="32" spans="1:13" ht="12" customHeight="1">
      <c r="A32" s="129"/>
      <c r="B32" s="73" t="s">
        <v>6</v>
      </c>
      <c r="C32" s="226">
        <v>1</v>
      </c>
      <c r="D32" s="189">
        <f>10/K7</f>
        <v>0.5</v>
      </c>
      <c r="E32" s="96">
        <f t="shared" si="0"/>
        <v>0.5</v>
      </c>
      <c r="F32" s="189">
        <v>29</v>
      </c>
      <c r="G32" s="101">
        <f>E32/60*F32</f>
        <v>0.24166666666666667</v>
      </c>
      <c r="H32" s="189">
        <v>1</v>
      </c>
      <c r="I32" s="89">
        <f t="shared" si="2"/>
        <v>0.24166666666666667</v>
      </c>
      <c r="J32" s="89"/>
      <c r="K32" s="97"/>
      <c r="L32" s="98"/>
      <c r="M32" s="129"/>
    </row>
    <row r="33" spans="1:13" ht="12" customHeight="1">
      <c r="A33" s="129"/>
      <c r="B33" s="73"/>
      <c r="C33" s="226"/>
      <c r="D33" s="189"/>
      <c r="E33" s="96">
        <f t="shared" si="0"/>
        <v>0</v>
      </c>
      <c r="F33" s="189"/>
      <c r="G33" s="101">
        <f t="shared" si="1"/>
        <v>0</v>
      </c>
      <c r="H33" s="189">
        <v>1</v>
      </c>
      <c r="I33" s="89">
        <f t="shared" si="2"/>
        <v>0</v>
      </c>
      <c r="J33" s="89"/>
      <c r="K33" s="97"/>
      <c r="L33" s="98"/>
      <c r="M33" s="129"/>
    </row>
    <row r="34" spans="1:13" ht="12" customHeight="1">
      <c r="A34" s="129"/>
      <c r="B34" s="73"/>
      <c r="C34" s="226"/>
      <c r="D34" s="189"/>
      <c r="E34" s="96">
        <f t="shared" si="0"/>
        <v>0</v>
      </c>
      <c r="F34" s="189"/>
      <c r="G34" s="101">
        <f t="shared" si="1"/>
        <v>0</v>
      </c>
      <c r="H34" s="189">
        <v>1</v>
      </c>
      <c r="I34" s="89">
        <f t="shared" si="2"/>
        <v>0</v>
      </c>
      <c r="J34" s="89"/>
      <c r="K34" s="97"/>
      <c r="L34" s="98"/>
      <c r="M34" s="129"/>
    </row>
    <row r="35" spans="1:13" ht="12" customHeight="1">
      <c r="A35" s="129"/>
      <c r="B35" s="75"/>
      <c r="C35" s="226"/>
      <c r="D35" s="189"/>
      <c r="E35" s="96">
        <f t="shared" si="0"/>
        <v>0</v>
      </c>
      <c r="F35" s="189"/>
      <c r="G35" s="101">
        <f t="shared" si="1"/>
        <v>0</v>
      </c>
      <c r="H35" s="189">
        <v>1</v>
      </c>
      <c r="I35" s="89">
        <f t="shared" si="2"/>
        <v>0</v>
      </c>
      <c r="J35" s="89"/>
      <c r="K35" s="97"/>
      <c r="L35" s="98"/>
      <c r="M35" s="129"/>
    </row>
    <row r="36" spans="1:13" ht="12" customHeight="1">
      <c r="A36" s="129"/>
      <c r="B36" s="73"/>
      <c r="C36" s="226"/>
      <c r="D36" s="189"/>
      <c r="E36" s="96">
        <f t="shared" si="0"/>
        <v>0</v>
      </c>
      <c r="F36" s="189"/>
      <c r="G36" s="101">
        <f t="shared" si="1"/>
        <v>0</v>
      </c>
      <c r="H36" s="189">
        <v>1</v>
      </c>
      <c r="I36" s="89">
        <f t="shared" si="2"/>
        <v>0</v>
      </c>
      <c r="J36" s="89"/>
      <c r="K36" s="97"/>
      <c r="L36" s="98"/>
      <c r="M36" s="129"/>
    </row>
    <row r="37" spans="1:13" ht="12" customHeight="1">
      <c r="A37" s="129"/>
      <c r="B37" s="73"/>
      <c r="C37" s="226"/>
      <c r="D37" s="189"/>
      <c r="E37" s="96">
        <f t="shared" si="0"/>
        <v>0</v>
      </c>
      <c r="F37" s="189"/>
      <c r="G37" s="101">
        <f t="shared" si="1"/>
        <v>0</v>
      </c>
      <c r="H37" s="189">
        <v>1</v>
      </c>
      <c r="I37" s="89">
        <f t="shared" si="2"/>
        <v>0</v>
      </c>
      <c r="J37" s="89"/>
      <c r="K37" s="97"/>
      <c r="L37" s="98"/>
      <c r="M37" s="129"/>
    </row>
    <row r="38" spans="1:13" ht="12" customHeight="1">
      <c r="A38" s="129"/>
      <c r="B38" s="73"/>
      <c r="C38" s="226"/>
      <c r="D38" s="189"/>
      <c r="E38" s="96">
        <f t="shared" si="0"/>
        <v>0</v>
      </c>
      <c r="F38" s="189"/>
      <c r="G38" s="101">
        <f t="shared" si="1"/>
        <v>0</v>
      </c>
      <c r="H38" s="189">
        <v>1</v>
      </c>
      <c r="I38" s="89">
        <f t="shared" si="2"/>
        <v>0</v>
      </c>
      <c r="J38" s="89"/>
      <c r="K38" s="97"/>
      <c r="L38" s="98"/>
      <c r="M38" s="129"/>
    </row>
    <row r="39" spans="1:13" ht="12" customHeight="1">
      <c r="A39" s="129"/>
      <c r="B39" s="73"/>
      <c r="C39" s="226"/>
      <c r="D39" s="189"/>
      <c r="E39" s="96">
        <f t="shared" si="0"/>
        <v>0</v>
      </c>
      <c r="F39" s="189"/>
      <c r="G39" s="101">
        <f t="shared" si="1"/>
        <v>0</v>
      </c>
      <c r="H39" s="189">
        <v>1</v>
      </c>
      <c r="I39" s="89">
        <f t="shared" si="2"/>
        <v>0</v>
      </c>
      <c r="J39" s="89"/>
      <c r="K39" s="97"/>
      <c r="L39" s="98"/>
      <c r="M39" s="129"/>
    </row>
    <row r="40" spans="1:13" ht="12" customHeight="1">
      <c r="A40" s="129"/>
      <c r="B40" s="73"/>
      <c r="C40" s="226"/>
      <c r="D40" s="189"/>
      <c r="E40" s="96">
        <f t="shared" si="0"/>
        <v>0</v>
      </c>
      <c r="F40" s="189"/>
      <c r="G40" s="101">
        <f t="shared" si="1"/>
        <v>0</v>
      </c>
      <c r="H40" s="189">
        <v>1</v>
      </c>
      <c r="I40" s="89">
        <f t="shared" si="2"/>
        <v>0</v>
      </c>
      <c r="J40" s="89"/>
      <c r="K40" s="97"/>
      <c r="L40" s="98"/>
      <c r="M40" s="129"/>
    </row>
    <row r="41" spans="1:13" ht="12" customHeight="1">
      <c r="A41" s="129"/>
      <c r="B41" s="73"/>
      <c r="C41" s="226"/>
      <c r="D41" s="189"/>
      <c r="E41" s="96">
        <f t="shared" si="0"/>
        <v>0</v>
      </c>
      <c r="F41" s="189"/>
      <c r="G41" s="101">
        <f t="shared" si="1"/>
        <v>0</v>
      </c>
      <c r="H41" s="189">
        <v>1</v>
      </c>
      <c r="I41" s="89">
        <f t="shared" si="2"/>
        <v>0</v>
      </c>
      <c r="J41" s="89"/>
      <c r="K41" s="97"/>
      <c r="L41" s="98"/>
      <c r="M41" s="129"/>
    </row>
    <row r="42" spans="1:13" ht="12" customHeight="1">
      <c r="A42" s="129"/>
      <c r="B42" s="73"/>
      <c r="C42" s="226"/>
      <c r="D42" s="189"/>
      <c r="E42" s="96">
        <f t="shared" si="0"/>
        <v>0</v>
      </c>
      <c r="F42" s="189"/>
      <c r="G42" s="101">
        <f t="shared" si="1"/>
        <v>0</v>
      </c>
      <c r="H42" s="189">
        <v>1</v>
      </c>
      <c r="I42" s="89">
        <f t="shared" si="2"/>
        <v>0</v>
      </c>
      <c r="J42" s="89"/>
      <c r="K42" s="91" t="s">
        <v>107</v>
      </c>
      <c r="L42" s="92">
        <f>(J45-G45)*$K$7</f>
        <v>0</v>
      </c>
      <c r="M42" s="129"/>
    </row>
    <row r="43" spans="1:13" ht="12" customHeight="1" thickBot="1">
      <c r="A43" s="129"/>
      <c r="B43" s="73"/>
      <c r="C43" s="226"/>
      <c r="D43" s="189"/>
      <c r="E43" s="96">
        <f t="shared" si="0"/>
        <v>0</v>
      </c>
      <c r="F43" s="189"/>
      <c r="G43" s="101">
        <f t="shared" si="1"/>
        <v>0</v>
      </c>
      <c r="H43" s="189">
        <v>1</v>
      </c>
      <c r="I43" s="89">
        <f t="shared" si="2"/>
        <v>0</v>
      </c>
      <c r="J43" s="89"/>
      <c r="K43" s="91" t="s">
        <v>118</v>
      </c>
      <c r="L43" s="92">
        <f>(L45-J45)*$K$7</f>
        <v>14.833333333333334</v>
      </c>
      <c r="M43" s="129"/>
    </row>
    <row r="44" spans="1:13" ht="12" customHeight="1">
      <c r="A44" s="129"/>
      <c r="B44" s="73"/>
      <c r="C44" s="226"/>
      <c r="D44" s="189"/>
      <c r="E44" s="96">
        <f t="shared" si="0"/>
        <v>0</v>
      </c>
      <c r="F44" s="189"/>
      <c r="G44" s="101">
        <f t="shared" si="1"/>
        <v>0</v>
      </c>
      <c r="H44" s="189">
        <v>1</v>
      </c>
      <c r="I44" s="89">
        <f t="shared" si="2"/>
        <v>0</v>
      </c>
      <c r="J44" s="90"/>
      <c r="K44" s="93" t="s">
        <v>117</v>
      </c>
      <c r="L44" s="99">
        <f>IF(L12&lt;&gt;0,L45/L12,"?")</f>
        <v>0.29072357602033183</v>
      </c>
      <c r="M44" s="129"/>
    </row>
    <row r="45" spans="1:13" ht="13.5" customHeight="1" thickBot="1">
      <c r="A45" s="130"/>
      <c r="B45" s="144" t="s">
        <v>113</v>
      </c>
      <c r="C45" s="141"/>
      <c r="D45" s="141"/>
      <c r="E45" s="159">
        <f>SUM(E31:E44)</f>
        <v>1.5</v>
      </c>
      <c r="F45" s="160">
        <f>IF(E45&lt;&gt;0,(G45/E45)*60,0)</f>
        <v>29.666666666666668</v>
      </c>
      <c r="G45" s="141">
        <f>SUM(G31:G44)</f>
        <v>0.7416666666666667</v>
      </c>
      <c r="H45" s="160">
        <f>IF(G45&lt;&gt;0,I45/G45,0)</f>
        <v>1</v>
      </c>
      <c r="I45" s="141">
        <f>SUM(I31:I44)</f>
        <v>0.7416666666666667</v>
      </c>
      <c r="J45" s="142">
        <f>SUM(I31:I44)</f>
        <v>0.7416666666666667</v>
      </c>
      <c r="K45" s="193">
        <v>0.5</v>
      </c>
      <c r="L45" s="143">
        <f>J45/(1-K45)</f>
        <v>1.4833333333333334</v>
      </c>
      <c r="M45" s="130"/>
    </row>
    <row r="46" spans="1:13" ht="5.25" customHeight="1" thickBot="1">
      <c r="A46" s="129"/>
      <c r="B46" s="154"/>
      <c r="C46" s="56"/>
      <c r="D46" s="155"/>
      <c r="E46" s="56"/>
      <c r="F46" s="156"/>
      <c r="G46" s="156"/>
      <c r="H46" s="58"/>
      <c r="I46" s="149"/>
      <c r="J46" s="56"/>
      <c r="K46" s="157"/>
      <c r="L46" s="153"/>
      <c r="M46" s="129"/>
    </row>
    <row r="47" spans="1:14" ht="23.25" customHeight="1" hidden="1">
      <c r="A47" s="131" t="s">
        <v>48</v>
      </c>
      <c r="B47" s="20" t="s">
        <v>38</v>
      </c>
      <c r="C47" s="32" t="s">
        <v>27</v>
      </c>
      <c r="D47" s="46" t="s">
        <v>43</v>
      </c>
      <c r="E47" s="46" t="s">
        <v>44</v>
      </c>
      <c r="F47" s="39" t="s">
        <v>24</v>
      </c>
      <c r="G47" s="31" t="s">
        <v>36</v>
      </c>
      <c r="H47" s="32" t="s">
        <v>53</v>
      </c>
      <c r="I47" s="39" t="s">
        <v>28</v>
      </c>
      <c r="J47" s="32" t="s">
        <v>52</v>
      </c>
      <c r="K47" s="40" t="s">
        <v>29</v>
      </c>
      <c r="L47" s="41" t="s">
        <v>51</v>
      </c>
      <c r="M47" s="131" t="s">
        <v>48</v>
      </c>
      <c r="N47" s="87"/>
    </row>
    <row r="48" spans="1:14" ht="10.5" customHeight="1" hidden="1" thickBot="1">
      <c r="A48" s="131"/>
      <c r="B48" s="73"/>
      <c r="C48" s="45"/>
      <c r="D48" s="47">
        <f>$I$7/$L$7</f>
        <v>2</v>
      </c>
      <c r="E48" s="47">
        <f>C48*D48</f>
        <v>0</v>
      </c>
      <c r="F48" s="36">
        <f>E48/$I$7</f>
        <v>0</v>
      </c>
      <c r="G48" s="36">
        <f>F48</f>
        <v>0</v>
      </c>
      <c r="H48" s="29">
        <v>1</v>
      </c>
      <c r="I48" s="25">
        <f>(G48*H48)</f>
        <v>0</v>
      </c>
      <c r="J48" s="25"/>
      <c r="K48" s="37"/>
      <c r="L48" s="60"/>
      <c r="M48" s="131"/>
      <c r="N48" s="87"/>
    </row>
    <row r="49" spans="1:14" ht="10.5" customHeight="1" hidden="1" thickBot="1">
      <c r="A49" s="131"/>
      <c r="B49" s="73"/>
      <c r="C49" s="45"/>
      <c r="D49" s="47">
        <f>$I$7/$L$7</f>
        <v>2</v>
      </c>
      <c r="E49" s="47">
        <f>C49*D49</f>
        <v>0</v>
      </c>
      <c r="F49" s="36">
        <f>E49/$I$7</f>
        <v>0</v>
      </c>
      <c r="G49" s="36">
        <f>F49</f>
        <v>0</v>
      </c>
      <c r="H49" s="29">
        <v>1</v>
      </c>
      <c r="I49" s="25">
        <f>(G49*H49)</f>
        <v>0</v>
      </c>
      <c r="J49" s="25"/>
      <c r="K49" s="37"/>
      <c r="L49" s="60"/>
      <c r="M49" s="131"/>
      <c r="N49" s="87"/>
    </row>
    <row r="50" spans="1:14" ht="10.5" customHeight="1" hidden="1">
      <c r="A50" s="131"/>
      <c r="B50" s="73" t="s">
        <v>41</v>
      </c>
      <c r="C50" s="45">
        <v>0</v>
      </c>
      <c r="D50" s="47">
        <f>$I$7/$L$7</f>
        <v>2</v>
      </c>
      <c r="E50" s="49">
        <f>C50*D50</f>
        <v>0</v>
      </c>
      <c r="F50" s="36">
        <f>E50/$I$7</f>
        <v>0</v>
      </c>
      <c r="G50" s="36">
        <f>F50</f>
        <v>0</v>
      </c>
      <c r="H50" s="29">
        <v>1</v>
      </c>
      <c r="I50" s="25">
        <f>(G50*H50)</f>
        <v>0</v>
      </c>
      <c r="J50" s="25"/>
      <c r="K50" s="37" t="s">
        <v>37</v>
      </c>
      <c r="L50" s="60">
        <f>(J53-G53)*$K$7</f>
        <v>0</v>
      </c>
      <c r="M50" s="131"/>
      <c r="N50" s="87"/>
    </row>
    <row r="51" spans="1:14" ht="10.5" customHeight="1" hidden="1">
      <c r="A51" s="131"/>
      <c r="B51" s="73" t="s">
        <v>42</v>
      </c>
      <c r="C51" s="45">
        <v>0</v>
      </c>
      <c r="D51" s="47">
        <f>$I$7/$L$7</f>
        <v>2</v>
      </c>
      <c r="E51" s="47">
        <f>C51*D51</f>
        <v>0</v>
      </c>
      <c r="F51" s="36">
        <f>E51/$I$7</f>
        <v>0</v>
      </c>
      <c r="G51" s="36">
        <f>F51</f>
        <v>0</v>
      </c>
      <c r="H51" s="29">
        <v>1</v>
      </c>
      <c r="I51" s="25">
        <f>(G51*H51)</f>
        <v>0</v>
      </c>
      <c r="J51" s="25"/>
      <c r="K51" s="37" t="s">
        <v>46</v>
      </c>
      <c r="L51" s="60">
        <f>(L53-J53)*$K$7</f>
        <v>0</v>
      </c>
      <c r="M51" s="131"/>
      <c r="N51" s="87"/>
    </row>
    <row r="52" spans="1:14" ht="10.5" customHeight="1" hidden="1">
      <c r="A52" s="131"/>
      <c r="B52" s="73" t="s">
        <v>45</v>
      </c>
      <c r="C52" s="45">
        <v>0</v>
      </c>
      <c r="D52" s="47">
        <f>$I$7/$L$7</f>
        <v>2</v>
      </c>
      <c r="E52" s="47">
        <f>C52*D52</f>
        <v>0</v>
      </c>
      <c r="F52" s="36">
        <f>E52/$I$7</f>
        <v>0</v>
      </c>
      <c r="G52" s="36">
        <f>F52</f>
        <v>0</v>
      </c>
      <c r="H52" s="29">
        <v>1</v>
      </c>
      <c r="I52" s="25">
        <f>(G52*H52)</f>
        <v>0</v>
      </c>
      <c r="J52" s="42"/>
      <c r="K52" s="43" t="s">
        <v>29</v>
      </c>
      <c r="L52" s="61">
        <f>IF(L12&lt;&gt;0,L53/L12,"?")</f>
        <v>0</v>
      </c>
      <c r="M52" s="131"/>
      <c r="N52" s="87"/>
    </row>
    <row r="53" spans="1:14" ht="10.5" customHeight="1" hidden="1">
      <c r="A53" s="132" t="s">
        <v>49</v>
      </c>
      <c r="B53" s="76" t="s">
        <v>47</v>
      </c>
      <c r="C53" s="84"/>
      <c r="D53" s="84"/>
      <c r="E53" s="86"/>
      <c r="F53" s="84"/>
      <c r="G53" s="84">
        <f>SUM(G48:G52)</f>
        <v>0</v>
      </c>
      <c r="H53" s="84" t="str">
        <f>IF(G53&lt;&gt;0,I53/G53,"?")</f>
        <v>?</v>
      </c>
      <c r="I53" s="84">
        <f>SUM(I48:I52)</f>
        <v>0</v>
      </c>
      <c r="J53" s="85">
        <f>SUM(I50:I52)</f>
        <v>0</v>
      </c>
      <c r="K53" s="44">
        <v>0.25</v>
      </c>
      <c r="L53" s="62">
        <f>J53/(1-K53)</f>
        <v>0</v>
      </c>
      <c r="M53" s="132" t="s">
        <v>49</v>
      </c>
      <c r="N53" s="87"/>
    </row>
    <row r="54" spans="1:14" ht="5.25" customHeight="1" hidden="1" thickBot="1">
      <c r="A54" s="131"/>
      <c r="B54" s="63"/>
      <c r="C54" s="64"/>
      <c r="D54" s="65"/>
      <c r="E54" s="66"/>
      <c r="F54" s="67"/>
      <c r="G54" s="67"/>
      <c r="H54" s="68"/>
      <c r="I54" s="16"/>
      <c r="J54" s="64"/>
      <c r="K54" s="69"/>
      <c r="L54" s="70"/>
      <c r="M54" s="131"/>
      <c r="N54" s="87"/>
    </row>
    <row r="55" spans="1:13" ht="24.75" customHeight="1">
      <c r="A55" s="129"/>
      <c r="B55" s="20" t="s">
        <v>129</v>
      </c>
      <c r="C55" s="32" t="s">
        <v>27</v>
      </c>
      <c r="D55" s="5"/>
      <c r="E55" s="214" t="s">
        <v>105</v>
      </c>
      <c r="F55" s="209" t="s">
        <v>76</v>
      </c>
      <c r="G55" s="212" t="s">
        <v>78</v>
      </c>
      <c r="H55" s="217" t="s">
        <v>106</v>
      </c>
      <c r="I55" s="209" t="s">
        <v>104</v>
      </c>
      <c r="J55" s="210" t="s">
        <v>93</v>
      </c>
      <c r="K55" s="34" t="s">
        <v>102</v>
      </c>
      <c r="L55" s="41" t="s">
        <v>81</v>
      </c>
      <c r="M55" s="129"/>
    </row>
    <row r="56" spans="1:13" ht="12" customHeight="1">
      <c r="A56" s="129"/>
      <c r="B56" s="73"/>
      <c r="C56" s="194"/>
      <c r="D56" s="89"/>
      <c r="E56" s="100">
        <f>$I$7</f>
        <v>40</v>
      </c>
      <c r="F56" s="101">
        <f>C56/E56</f>
        <v>0</v>
      </c>
      <c r="G56" s="101">
        <f>F56</f>
        <v>0</v>
      </c>
      <c r="H56" s="189">
        <v>1</v>
      </c>
      <c r="I56" s="89">
        <f>(G56*H56)</f>
        <v>0</v>
      </c>
      <c r="J56" s="89"/>
      <c r="K56" s="91"/>
      <c r="L56" s="92"/>
      <c r="M56" s="129"/>
    </row>
    <row r="57" spans="1:13" ht="12" customHeight="1">
      <c r="A57" s="129"/>
      <c r="B57" s="73" t="s">
        <v>126</v>
      </c>
      <c r="C57" s="194"/>
      <c r="D57" s="89"/>
      <c r="E57" s="100">
        <f>$I$7</f>
        <v>40</v>
      </c>
      <c r="F57" s="101">
        <f>C57/E57</f>
        <v>0</v>
      </c>
      <c r="G57" s="101">
        <f>F57</f>
        <v>0</v>
      </c>
      <c r="H57" s="189">
        <v>1</v>
      </c>
      <c r="I57" s="89">
        <f>(G57*H57)</f>
        <v>0</v>
      </c>
      <c r="J57" s="89"/>
      <c r="K57" s="91"/>
      <c r="L57" s="92"/>
      <c r="M57" s="129"/>
    </row>
    <row r="58" spans="1:13" ht="12" customHeight="1">
      <c r="A58" s="129"/>
      <c r="B58" s="73" t="s">
        <v>122</v>
      </c>
      <c r="C58" s="194"/>
      <c r="D58" s="89"/>
      <c r="E58" s="100">
        <f>$I$7</f>
        <v>40</v>
      </c>
      <c r="F58" s="101">
        <f>C58/E58</f>
        <v>0</v>
      </c>
      <c r="G58" s="101">
        <f>F58</f>
        <v>0</v>
      </c>
      <c r="H58" s="189">
        <v>1</v>
      </c>
      <c r="I58" s="89">
        <f>(G58*H58)</f>
        <v>0</v>
      </c>
      <c r="J58" s="89"/>
      <c r="K58" s="91" t="s">
        <v>37</v>
      </c>
      <c r="L58" s="92">
        <f>(J61-G61)*$K$7</f>
        <v>0</v>
      </c>
      <c r="M58" s="129"/>
    </row>
    <row r="59" spans="1:13" ht="12" customHeight="1" thickBot="1">
      <c r="A59" s="129"/>
      <c r="B59" s="73" t="s">
        <v>119</v>
      </c>
      <c r="C59" s="194"/>
      <c r="D59" s="89"/>
      <c r="E59" s="100">
        <f>$I$7</f>
        <v>40</v>
      </c>
      <c r="F59" s="101">
        <f>C59/E59</f>
        <v>0</v>
      </c>
      <c r="G59" s="101">
        <f>F59</f>
        <v>0</v>
      </c>
      <c r="H59" s="189">
        <v>1</v>
      </c>
      <c r="I59" s="89">
        <f>(G59*H59)</f>
        <v>0</v>
      </c>
      <c r="J59" s="89"/>
      <c r="K59" s="91" t="s">
        <v>118</v>
      </c>
      <c r="L59" s="92">
        <f>(L61-J61)*$K$7</f>
        <v>0</v>
      </c>
      <c r="M59" s="129"/>
    </row>
    <row r="60" spans="1:13" ht="12" customHeight="1">
      <c r="A60" s="129"/>
      <c r="B60" s="73" t="s">
        <v>128</v>
      </c>
      <c r="C60" s="194"/>
      <c r="D60" s="89"/>
      <c r="E60" s="100">
        <f>$I$7</f>
        <v>40</v>
      </c>
      <c r="F60" s="101">
        <f>C60/E60</f>
        <v>0</v>
      </c>
      <c r="G60" s="101">
        <f>F60</f>
        <v>0</v>
      </c>
      <c r="H60" s="189">
        <v>1</v>
      </c>
      <c r="I60" s="89">
        <f>(G60*H60)</f>
        <v>0</v>
      </c>
      <c r="J60" s="90"/>
      <c r="K60" s="93" t="s">
        <v>117</v>
      </c>
      <c r="L60" s="99">
        <f>IF(L12&lt;&gt;0,L61/L12,"?")</f>
        <v>0</v>
      </c>
      <c r="M60" s="129"/>
    </row>
    <row r="61" spans="1:13" ht="13.5" customHeight="1" thickBot="1">
      <c r="A61" s="130"/>
      <c r="B61" s="114" t="s">
        <v>132</v>
      </c>
      <c r="C61" s="115"/>
      <c r="D61" s="115"/>
      <c r="E61" s="116"/>
      <c r="F61" s="115"/>
      <c r="G61" s="117">
        <f>SUM(G56:G60)</f>
        <v>0</v>
      </c>
      <c r="H61" s="117">
        <f>IF(G61&lt;&gt;0,I61/G61,0)</f>
        <v>0</v>
      </c>
      <c r="I61" s="115">
        <f>SUM(I56:I60)</f>
        <v>0</v>
      </c>
      <c r="J61" s="118">
        <f>SUM(I56:I60)</f>
        <v>0</v>
      </c>
      <c r="K61" s="192">
        <v>0.25</v>
      </c>
      <c r="L61" s="119">
        <f>J61/(1-K61)</f>
        <v>0</v>
      </c>
      <c r="M61" s="130"/>
    </row>
    <row r="62" spans="1:13" ht="5.25" customHeight="1" thickBot="1">
      <c r="A62" s="138"/>
      <c r="B62" s="133"/>
      <c r="C62" s="134"/>
      <c r="D62" s="134"/>
      <c r="E62" s="134"/>
      <c r="F62" s="134"/>
      <c r="G62" s="134"/>
      <c r="H62" s="134"/>
      <c r="I62" s="134"/>
      <c r="J62" s="135"/>
      <c r="K62" s="134"/>
      <c r="L62" s="136"/>
      <c r="M62" s="138"/>
    </row>
    <row r="63" spans="1:13" ht="12.75">
      <c r="A63" s="7"/>
      <c r="B63" s="13"/>
      <c r="C63" s="3"/>
      <c r="D63" s="3"/>
      <c r="E63" s="3"/>
      <c r="F63" s="50"/>
      <c r="G63" s="3"/>
      <c r="H63" s="3"/>
      <c r="I63" s="6"/>
      <c r="J63" s="3"/>
      <c r="M63" s="7"/>
    </row>
    <row r="64" spans="1:13" ht="12.75">
      <c r="A64" s="8"/>
      <c r="B64" s="26"/>
      <c r="C64" s="26"/>
      <c r="D64" s="26"/>
      <c r="E64" s="26"/>
      <c r="F64" s="26"/>
      <c r="G64" s="26"/>
      <c r="H64" s="4"/>
      <c r="I64" s="4"/>
      <c r="J64" s="6"/>
      <c r="K64" s="4"/>
      <c r="L64" s="53"/>
      <c r="M64" s="8"/>
    </row>
    <row r="65" spans="1:13" ht="12.75">
      <c r="A65" s="8"/>
      <c r="B65" s="7"/>
      <c r="C65" s="7"/>
      <c r="D65" s="7"/>
      <c r="E65" s="7"/>
      <c r="F65" s="7"/>
      <c r="G65" s="7"/>
      <c r="H65" s="4"/>
      <c r="I65" s="4"/>
      <c r="J65" s="6"/>
      <c r="K65" s="4"/>
      <c r="L65" s="54"/>
      <c r="M65" s="8"/>
    </row>
    <row r="66" spans="1:13" ht="13.5">
      <c r="A66" s="8"/>
      <c r="B66" s="7"/>
      <c r="C66" s="7"/>
      <c r="D66" s="7"/>
      <c r="E66" s="7"/>
      <c r="F66" s="7"/>
      <c r="G66" s="7"/>
      <c r="H66" s="4"/>
      <c r="I66" s="4"/>
      <c r="J66" s="6"/>
      <c r="K66" s="4"/>
      <c r="L66" s="53"/>
      <c r="M66" s="8"/>
    </row>
    <row r="67" spans="1:13" ht="13.5">
      <c r="A67" s="8"/>
      <c r="B67" s="7"/>
      <c r="C67" s="7"/>
      <c r="D67" s="7"/>
      <c r="E67" s="7"/>
      <c r="F67" s="7"/>
      <c r="G67" s="7"/>
      <c r="H67" s="8"/>
      <c r="I67" s="8"/>
      <c r="J67" s="8"/>
      <c r="K67" s="8"/>
      <c r="L67" s="8"/>
      <c r="M67" s="8"/>
    </row>
    <row r="68" spans="1:13" ht="13.5">
      <c r="A68" s="8"/>
      <c r="B68" s="7"/>
      <c r="C68" s="7"/>
      <c r="D68" s="7"/>
      <c r="E68" s="7"/>
      <c r="F68" s="7"/>
      <c r="G68" s="7"/>
      <c r="H68" s="8"/>
      <c r="I68" s="8"/>
      <c r="J68" s="8"/>
      <c r="K68" s="8"/>
      <c r="L68" s="8"/>
      <c r="M68" s="8"/>
    </row>
    <row r="69" spans="1:13" ht="13.5">
      <c r="A69" s="7"/>
      <c r="B69" s="8"/>
      <c r="C69" s="7"/>
      <c r="D69" s="7"/>
      <c r="E69" s="7"/>
      <c r="F69" s="7"/>
      <c r="G69" s="7"/>
      <c r="H69" s="7"/>
      <c r="I69" s="7"/>
      <c r="J69" s="7"/>
      <c r="K69" s="8"/>
      <c r="L69" s="7"/>
      <c r="M69" s="7"/>
    </row>
    <row r="70" spans="1:13" ht="13.5">
      <c r="A70" s="7"/>
      <c r="B70" s="8"/>
      <c r="C70" s="9"/>
      <c r="D70" s="8"/>
      <c r="E70" s="7"/>
      <c r="F70" s="7"/>
      <c r="G70" s="7"/>
      <c r="H70" s="7"/>
      <c r="I70" s="7"/>
      <c r="J70" s="7"/>
      <c r="K70" s="8"/>
      <c r="L70" s="7"/>
      <c r="M70" s="7"/>
    </row>
    <row r="71" spans="1:13" ht="13.5">
      <c r="A71" s="7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</row>
    <row r="72" spans="1:13" ht="13.5">
      <c r="A72" s="7"/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  <c r="M72" s="7"/>
    </row>
    <row r="73" spans="1:13" ht="13.5">
      <c r="A73" s="7"/>
      <c r="B73" s="7"/>
      <c r="C73" s="7"/>
      <c r="D73" s="7"/>
      <c r="E73" s="7"/>
      <c r="F73" s="7"/>
      <c r="G73" s="7"/>
      <c r="H73" s="8"/>
      <c r="I73" s="8"/>
      <c r="J73" s="7"/>
      <c r="K73" s="7"/>
      <c r="L73" s="7"/>
      <c r="M73" s="7"/>
    </row>
    <row r="74" spans="1:13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3.5">
      <c r="A75" s="7"/>
      <c r="B75" s="1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3.5">
      <c r="A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3.5">
      <c r="A80" s="7"/>
      <c r="B80" s="7"/>
      <c r="C80" s="26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3.5">
      <c r="A84" s="7"/>
      <c r="B84" s="11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3.5">
      <c r="A85" s="7"/>
      <c r="B85" s="7"/>
      <c r="C85" s="12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3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3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3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3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3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3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3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3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3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3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3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3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3.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3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3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3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3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3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3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3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3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3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3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3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3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3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3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3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3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3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3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3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3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3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3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3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</sheetData>
  <sheetProtection/>
  <mergeCells count="16">
    <mergeCell ref="F2:H2"/>
    <mergeCell ref="I2:J2"/>
    <mergeCell ref="C5:E5"/>
    <mergeCell ref="F5:L5"/>
    <mergeCell ref="C4:E4"/>
    <mergeCell ref="F4:L4"/>
    <mergeCell ref="N18:P23"/>
    <mergeCell ref="G6:H7"/>
    <mergeCell ref="B2:B3"/>
    <mergeCell ref="C2:E2"/>
    <mergeCell ref="B6:B7"/>
    <mergeCell ref="G8:L9"/>
    <mergeCell ref="K2:L2"/>
    <mergeCell ref="C3:E3"/>
    <mergeCell ref="F3:L3"/>
    <mergeCell ref="B4:B5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0"/>
  <sheetViews>
    <sheetView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C33" sqref="C33"/>
    </sheetView>
  </sheetViews>
  <sheetFormatPr defaultColWidth="9.140625" defaultRowHeight="12.75"/>
  <cols>
    <col min="1" max="1" width="0.71875" style="1" customWidth="1"/>
    <col min="2" max="2" width="28.28125" style="1" customWidth="1"/>
    <col min="3" max="7" width="8.7109375" style="1" customWidth="1"/>
    <col min="8" max="8" width="9.7109375" style="1" customWidth="1"/>
    <col min="9" max="11" width="8.7109375" style="1" customWidth="1"/>
    <col min="12" max="12" width="9.28125" style="1" customWidth="1"/>
    <col min="13" max="13" width="0.71875" style="1" customWidth="1"/>
    <col min="76" max="16384" width="9.140625" style="1" customWidth="1"/>
  </cols>
  <sheetData>
    <row r="1" spans="1:13" ht="5.25" customHeight="1" thickBot="1">
      <c r="A1" s="138"/>
      <c r="B1" s="133"/>
      <c r="C1" s="134"/>
      <c r="D1" s="134"/>
      <c r="E1" s="134"/>
      <c r="F1" s="134"/>
      <c r="G1" s="134"/>
      <c r="H1" s="134"/>
      <c r="I1" s="134"/>
      <c r="J1" s="135"/>
      <c r="K1" s="134"/>
      <c r="L1" s="136"/>
      <c r="M1" s="138"/>
    </row>
    <row r="2" spans="1:14" ht="15" customHeight="1">
      <c r="A2" s="128"/>
      <c r="B2" s="284"/>
      <c r="C2" s="239" t="s">
        <v>114</v>
      </c>
      <c r="D2" s="240"/>
      <c r="E2" s="241"/>
      <c r="F2" s="294" t="str">
        <f>Product!F2</f>
        <v>Kari Kolehmainen</v>
      </c>
      <c r="G2" s="295"/>
      <c r="H2" s="245"/>
      <c r="I2" s="233" t="s">
        <v>73</v>
      </c>
      <c r="J2" s="234"/>
      <c r="K2" s="286" t="str">
        <f>Product!K2</f>
        <v>22.1 2014</v>
      </c>
      <c r="L2" s="287"/>
      <c r="M2" s="128"/>
      <c r="N2" t="s">
        <v>31</v>
      </c>
    </row>
    <row r="3" spans="1:14" ht="15" customHeight="1">
      <c r="A3" s="123"/>
      <c r="B3" s="285"/>
      <c r="C3" s="288" t="s">
        <v>69</v>
      </c>
      <c r="D3" s="289"/>
      <c r="E3" s="290"/>
      <c r="F3" s="291">
        <f>Product!F3</f>
        <v>0</v>
      </c>
      <c r="G3" s="292"/>
      <c r="H3" s="292"/>
      <c r="I3" s="292"/>
      <c r="J3" s="292"/>
      <c r="K3" s="292"/>
      <c r="L3" s="293"/>
      <c r="M3" s="123"/>
      <c r="N3" t="s">
        <v>30</v>
      </c>
    </row>
    <row r="4" spans="1:14" ht="15" customHeight="1">
      <c r="A4" s="129"/>
      <c r="B4" s="273" t="s">
        <v>67</v>
      </c>
      <c r="C4" s="288" t="s">
        <v>70</v>
      </c>
      <c r="D4" s="289"/>
      <c r="E4" s="290"/>
      <c r="F4" s="291" t="s">
        <v>15</v>
      </c>
      <c r="G4" s="292"/>
      <c r="H4" s="292"/>
      <c r="I4" s="292"/>
      <c r="J4" s="292"/>
      <c r="K4" s="292"/>
      <c r="L4" s="293"/>
      <c r="M4" s="129"/>
      <c r="N4" t="s">
        <v>59</v>
      </c>
    </row>
    <row r="5" spans="1:14" ht="15" customHeight="1" thickBot="1">
      <c r="A5" s="129"/>
      <c r="B5" s="273"/>
      <c r="C5" s="288"/>
      <c r="D5" s="289"/>
      <c r="E5" s="290"/>
      <c r="F5" s="296" t="s">
        <v>17</v>
      </c>
      <c r="G5" s="297"/>
      <c r="H5" s="297"/>
      <c r="I5" s="297"/>
      <c r="J5" s="297"/>
      <c r="K5" s="297"/>
      <c r="L5" s="298"/>
      <c r="M5" s="129"/>
      <c r="N5" s="187" t="s">
        <v>58</v>
      </c>
    </row>
    <row r="6" spans="1:14" ht="12.75" customHeight="1">
      <c r="A6" s="129"/>
      <c r="B6" s="273" t="s">
        <v>74</v>
      </c>
      <c r="C6" s="79" t="s">
        <v>71</v>
      </c>
      <c r="D6" s="77"/>
      <c r="E6" s="77"/>
      <c r="F6" s="197" t="s">
        <v>90</v>
      </c>
      <c r="G6" s="277"/>
      <c r="H6" s="278"/>
      <c r="I6" s="174" t="s">
        <v>98</v>
      </c>
      <c r="J6" s="113"/>
      <c r="K6" s="176" t="s">
        <v>99</v>
      </c>
      <c r="L6" s="176" t="s">
        <v>100</v>
      </c>
      <c r="M6" s="129"/>
      <c r="N6" t="s">
        <v>32</v>
      </c>
    </row>
    <row r="7" spans="1:14" ht="12.75" customHeight="1" thickBot="1">
      <c r="A7" s="129"/>
      <c r="B7" s="273"/>
      <c r="C7" s="80"/>
      <c r="D7" s="78"/>
      <c r="E7" s="78"/>
      <c r="F7" s="198" t="s">
        <v>50</v>
      </c>
      <c r="G7" s="279"/>
      <c r="H7" s="280"/>
      <c r="I7" s="185">
        <v>80</v>
      </c>
      <c r="J7" s="177" t="s">
        <v>56</v>
      </c>
      <c r="K7" s="196">
        <v>40</v>
      </c>
      <c r="L7" s="195">
        <v>40</v>
      </c>
      <c r="M7" s="129"/>
      <c r="N7" t="s">
        <v>33</v>
      </c>
    </row>
    <row r="8" spans="1:13" ht="19.5" customHeight="1" thickBot="1">
      <c r="A8" s="129"/>
      <c r="B8" s="27"/>
      <c r="C8" s="14"/>
      <c r="D8" s="55"/>
      <c r="E8" s="82"/>
      <c r="F8" s="48"/>
      <c r="G8" s="269" t="s">
        <v>112</v>
      </c>
      <c r="H8" s="269"/>
      <c r="I8" s="269"/>
      <c r="J8" s="269"/>
      <c r="K8" s="269"/>
      <c r="L8" s="270"/>
      <c r="M8" s="129"/>
    </row>
    <row r="9" spans="1:13" ht="19.5" customHeight="1" thickBot="1">
      <c r="A9" s="129"/>
      <c r="B9" s="15"/>
      <c r="C9" s="63"/>
      <c r="D9" s="72"/>
      <c r="E9" s="215" t="s">
        <v>110</v>
      </c>
      <c r="F9" s="221">
        <v>4</v>
      </c>
      <c r="G9" s="271"/>
      <c r="H9" s="271"/>
      <c r="I9" s="271"/>
      <c r="J9" s="271"/>
      <c r="K9" s="271"/>
      <c r="L9" s="272"/>
      <c r="M9" s="129"/>
    </row>
    <row r="10" spans="1:13" ht="5.25" customHeight="1" thickBot="1">
      <c r="A10" s="129"/>
      <c r="B10" s="124"/>
      <c r="C10" s="125"/>
      <c r="D10" s="121"/>
      <c r="E10" s="125"/>
      <c r="F10" s="121"/>
      <c r="G10" s="121"/>
      <c r="H10" s="125"/>
      <c r="I10" s="121"/>
      <c r="J10" s="125"/>
      <c r="K10" s="126"/>
      <c r="L10" s="127"/>
      <c r="M10" s="129"/>
    </row>
    <row r="11" spans="1:13" ht="24.75" customHeight="1" thickBot="1">
      <c r="A11" s="129"/>
      <c r="B11" s="17" t="s">
        <v>85</v>
      </c>
      <c r="C11" s="18"/>
      <c r="D11" s="19"/>
      <c r="E11" s="213" t="s">
        <v>109</v>
      </c>
      <c r="F11" s="216" t="s">
        <v>89</v>
      </c>
      <c r="G11" s="21" t="s">
        <v>95</v>
      </c>
      <c r="H11" s="213" t="s">
        <v>107</v>
      </c>
      <c r="I11" s="216" t="s">
        <v>108</v>
      </c>
      <c r="J11" s="213" t="s">
        <v>93</v>
      </c>
      <c r="K11" s="22" t="s">
        <v>101</v>
      </c>
      <c r="L11" s="23" t="s">
        <v>81</v>
      </c>
      <c r="M11" s="129"/>
    </row>
    <row r="12" spans="1:13" ht="13.5" thickBot="1">
      <c r="A12" s="130"/>
      <c r="B12" s="14"/>
      <c r="C12" s="2"/>
      <c r="D12" s="3"/>
      <c r="E12" s="102">
        <f>IF($E$45&lt;&gt;0,(60/$E$45*(L12-J12)),0)</f>
        <v>28.439513043478257</v>
      </c>
      <c r="F12" s="103">
        <f>(E45/60)*$I$7</f>
        <v>2</v>
      </c>
      <c r="G12" s="111">
        <f>G21+G28+G45+G53+G61</f>
        <v>0.817</v>
      </c>
      <c r="H12" s="104">
        <f>(J12-G12)*$K$7</f>
        <v>0.3744000000000014</v>
      </c>
      <c r="I12" s="104">
        <f>(L12-J12)*$K$7</f>
        <v>28.439513043478257</v>
      </c>
      <c r="J12" s="105">
        <f>SUM(J17:J61)</f>
        <v>0.82636</v>
      </c>
      <c r="K12" s="106">
        <f>IF(L12&lt;&gt;0,(L12-J12)/L12,0)</f>
        <v>0.4624768800022625</v>
      </c>
      <c r="L12" s="107">
        <f>L21+L28+L45+L53+L61</f>
        <v>1.5373478260869564</v>
      </c>
      <c r="M12" s="130"/>
    </row>
    <row r="13" spans="1:13" ht="13.5" thickBot="1">
      <c r="A13" s="129"/>
      <c r="B13" s="13"/>
      <c r="C13" s="2"/>
      <c r="D13" s="3"/>
      <c r="E13" s="3"/>
      <c r="F13" s="3"/>
      <c r="G13" s="3"/>
      <c r="H13" s="3"/>
      <c r="I13" s="3"/>
      <c r="J13" s="3"/>
      <c r="K13" s="3"/>
      <c r="L13" s="108" t="s">
        <v>94</v>
      </c>
      <c r="M13" s="129"/>
    </row>
    <row r="14" spans="1:13" ht="13.5" thickBot="1">
      <c r="A14" s="129"/>
      <c r="B14" s="15"/>
      <c r="C14" s="71"/>
      <c r="D14" s="16"/>
      <c r="E14" s="102">
        <f>IF($E$45&lt;&gt;0,(60/$E$45*(L14-J12)),0)</f>
        <v>28.5456</v>
      </c>
      <c r="F14" s="56"/>
      <c r="G14" s="112">
        <f>G12</f>
        <v>0.817</v>
      </c>
      <c r="H14" s="57"/>
      <c r="I14" s="104">
        <f>(L14-J12)*$K$7</f>
        <v>28.5456</v>
      </c>
      <c r="J14" s="58"/>
      <c r="K14" s="106">
        <f>IF(L14&lt;&gt;0,(L14-J12)/L14,"?")</f>
        <v>0.4634025974025974</v>
      </c>
      <c r="L14" s="188">
        <v>1.54</v>
      </c>
      <c r="M14" s="129"/>
    </row>
    <row r="15" spans="1:13" ht="5.25" customHeight="1" thickBot="1">
      <c r="A15" s="129"/>
      <c r="B15" s="120"/>
      <c r="C15" s="121"/>
      <c r="D15" s="121"/>
      <c r="E15" s="121"/>
      <c r="F15" s="121"/>
      <c r="G15" s="121"/>
      <c r="H15" s="121"/>
      <c r="I15" s="121"/>
      <c r="J15" s="122"/>
      <c r="K15" s="121"/>
      <c r="L15" s="123"/>
      <c r="M15" s="129"/>
    </row>
    <row r="16" spans="1:13" ht="24.75" customHeight="1">
      <c r="A16" s="129"/>
      <c r="B16" s="24" t="s">
        <v>82</v>
      </c>
      <c r="C16" s="210" t="s">
        <v>34</v>
      </c>
      <c r="D16" s="210" t="s">
        <v>64</v>
      </c>
      <c r="E16" s="211" t="s">
        <v>86</v>
      </c>
      <c r="F16" s="210" t="s">
        <v>76</v>
      </c>
      <c r="G16" s="212" t="s">
        <v>78</v>
      </c>
      <c r="H16" s="217" t="s">
        <v>106</v>
      </c>
      <c r="I16" s="210" t="s">
        <v>87</v>
      </c>
      <c r="J16" s="211" t="s">
        <v>93</v>
      </c>
      <c r="K16" s="161"/>
      <c r="L16" s="163" t="s">
        <v>81</v>
      </c>
      <c r="M16" s="129"/>
    </row>
    <row r="17" spans="1:13" ht="12" customHeight="1" thickBot="1">
      <c r="A17" s="129"/>
      <c r="B17" s="73" t="s">
        <v>16</v>
      </c>
      <c r="C17" s="29">
        <v>0.09</v>
      </c>
      <c r="D17" s="29">
        <v>1.3</v>
      </c>
      <c r="E17" s="226">
        <v>1</v>
      </c>
      <c r="F17" s="189">
        <f>D17*C17</f>
        <v>0.11699999999999999</v>
      </c>
      <c r="G17" s="101">
        <f>(E17*F17)</f>
        <v>0.11699999999999999</v>
      </c>
      <c r="H17" s="189">
        <v>1.08</v>
      </c>
      <c r="I17" s="89">
        <f>(G17*H17)</f>
        <v>0.12636</v>
      </c>
      <c r="J17" s="89"/>
      <c r="K17" s="89"/>
      <c r="L17" s="98"/>
      <c r="M17" s="129"/>
    </row>
    <row r="18" spans="1:16" ht="12" customHeight="1">
      <c r="A18" s="129"/>
      <c r="B18" s="73"/>
      <c r="C18" s="29"/>
      <c r="D18" s="29"/>
      <c r="E18" s="226"/>
      <c r="F18" s="189"/>
      <c r="G18" s="101">
        <f>(E18*F18)</f>
        <v>0</v>
      </c>
      <c r="H18" s="189">
        <v>1.08</v>
      </c>
      <c r="I18" s="89">
        <f>(G18*H18)</f>
        <v>0</v>
      </c>
      <c r="J18" s="89"/>
      <c r="K18" s="91" t="s">
        <v>107</v>
      </c>
      <c r="L18" s="92">
        <f>(J21-G21)*$K$7</f>
        <v>0.3744000000000003</v>
      </c>
      <c r="M18" s="129"/>
      <c r="N18" s="281" t="s">
        <v>55</v>
      </c>
      <c r="O18" s="259"/>
      <c r="P18" s="260"/>
    </row>
    <row r="19" spans="1:16" ht="12" customHeight="1" thickBot="1">
      <c r="A19" s="129"/>
      <c r="B19" s="73"/>
      <c r="C19" s="29"/>
      <c r="D19" s="29"/>
      <c r="E19" s="226"/>
      <c r="F19" s="189"/>
      <c r="G19" s="101">
        <f>(E19*F19)</f>
        <v>0</v>
      </c>
      <c r="H19" s="189">
        <v>1.08</v>
      </c>
      <c r="I19" s="89">
        <f>(G19*H19)</f>
        <v>0</v>
      </c>
      <c r="J19" s="89"/>
      <c r="K19" s="91" t="s">
        <v>118</v>
      </c>
      <c r="L19" s="92">
        <f>(L21-J21)*$K$7</f>
        <v>0.43951304347826015</v>
      </c>
      <c r="M19" s="129"/>
      <c r="N19" s="282"/>
      <c r="O19" s="261"/>
      <c r="P19" s="262"/>
    </row>
    <row r="20" spans="1:16" ht="12" customHeight="1">
      <c r="A20" s="129"/>
      <c r="B20" s="74"/>
      <c r="C20" s="30"/>
      <c r="D20" s="30"/>
      <c r="E20" s="226"/>
      <c r="F20" s="190"/>
      <c r="G20" s="101">
        <f>(E20*F20)</f>
        <v>0</v>
      </c>
      <c r="H20" s="191">
        <v>1.08</v>
      </c>
      <c r="I20" s="89">
        <f>(G20*H20)</f>
        <v>0</v>
      </c>
      <c r="J20" s="90"/>
      <c r="K20" s="93" t="s">
        <v>117</v>
      </c>
      <c r="L20" s="95">
        <f>IF(L12&lt;&gt;0,L21/L12,"?")</f>
        <v>0.08934076189937498</v>
      </c>
      <c r="M20" s="129"/>
      <c r="N20" s="282"/>
      <c r="O20" s="261"/>
      <c r="P20" s="262"/>
    </row>
    <row r="21" spans="1:16" ht="13.5" customHeight="1" thickBot="1">
      <c r="A21" s="130"/>
      <c r="B21" s="140" t="s">
        <v>88</v>
      </c>
      <c r="C21" s="141"/>
      <c r="D21" s="141"/>
      <c r="E21" s="141"/>
      <c r="F21" s="141"/>
      <c r="G21" s="160">
        <f>SUM(G17:G20)</f>
        <v>0.11699999999999999</v>
      </c>
      <c r="H21" s="160">
        <f>IF(G21&lt;&gt;0,I21/G21,0)</f>
        <v>1.08</v>
      </c>
      <c r="I21" s="141">
        <f>SUM(I17:I20)</f>
        <v>0.12636</v>
      </c>
      <c r="J21" s="142">
        <f>SUM(I17:I20)</f>
        <v>0.12636</v>
      </c>
      <c r="K21" s="193">
        <v>0.08</v>
      </c>
      <c r="L21" s="143">
        <f>J21/(1-K21)</f>
        <v>0.1373478260869565</v>
      </c>
      <c r="M21" s="130"/>
      <c r="N21" s="282"/>
      <c r="O21" s="261"/>
      <c r="P21" s="262"/>
    </row>
    <row r="22" spans="1:16" ht="5.25" customHeight="1" thickBot="1">
      <c r="A22" s="129"/>
      <c r="B22" s="147"/>
      <c r="C22" s="56"/>
      <c r="D22" s="56"/>
      <c r="E22" s="148"/>
      <c r="F22" s="56"/>
      <c r="G22" s="149"/>
      <c r="H22" s="149"/>
      <c r="I22" s="105"/>
      <c r="J22" s="56"/>
      <c r="K22" s="150"/>
      <c r="L22" s="151"/>
      <c r="M22" s="129"/>
      <c r="N22" s="282"/>
      <c r="O22" s="261"/>
      <c r="P22" s="262"/>
    </row>
    <row r="23" spans="1:16" ht="24.75" customHeight="1" thickBot="1">
      <c r="A23" s="129"/>
      <c r="B23" s="24" t="s">
        <v>84</v>
      </c>
      <c r="C23" s="210" t="s">
        <v>34</v>
      </c>
      <c r="D23" s="32" t="s">
        <v>35</v>
      </c>
      <c r="E23" s="211" t="s">
        <v>86</v>
      </c>
      <c r="F23" s="210" t="s">
        <v>76</v>
      </c>
      <c r="G23" s="212" t="s">
        <v>78</v>
      </c>
      <c r="H23" s="217" t="s">
        <v>106</v>
      </c>
      <c r="I23" s="210" t="s">
        <v>104</v>
      </c>
      <c r="J23" s="211" t="s">
        <v>93</v>
      </c>
      <c r="K23" s="161"/>
      <c r="L23" s="163" t="s">
        <v>81</v>
      </c>
      <c r="M23" s="129"/>
      <c r="N23" s="283"/>
      <c r="O23" s="263"/>
      <c r="P23" s="264"/>
    </row>
    <row r="24" spans="1:16" ht="12" customHeight="1">
      <c r="A24" s="129"/>
      <c r="B24" s="73"/>
      <c r="C24" s="29"/>
      <c r="D24" s="29"/>
      <c r="E24" s="226"/>
      <c r="F24" s="189"/>
      <c r="G24" s="101">
        <f>(E24*F24)</f>
        <v>0</v>
      </c>
      <c r="H24" s="189">
        <v>1.08</v>
      </c>
      <c r="I24" s="89">
        <f>(G24*H24)</f>
        <v>0</v>
      </c>
      <c r="J24" s="89"/>
      <c r="K24" s="91"/>
      <c r="L24" s="92"/>
      <c r="M24" s="129"/>
      <c r="N24" s="38"/>
      <c r="O24" s="38"/>
      <c r="P24" s="38"/>
    </row>
    <row r="25" spans="1:16" ht="12" customHeight="1">
      <c r="A25" s="129"/>
      <c r="B25" s="73"/>
      <c r="C25" s="29"/>
      <c r="D25" s="29"/>
      <c r="E25" s="226"/>
      <c r="F25" s="189"/>
      <c r="G25" s="101">
        <f>(E25*F25)</f>
        <v>0</v>
      </c>
      <c r="H25" s="189">
        <v>1.08</v>
      </c>
      <c r="I25" s="89">
        <f>(G25*H25)</f>
        <v>0</v>
      </c>
      <c r="J25" s="89"/>
      <c r="K25" s="91" t="s">
        <v>107</v>
      </c>
      <c r="L25" s="92">
        <f>(J28-G28)*$K$7</f>
        <v>0</v>
      </c>
      <c r="M25" s="129"/>
      <c r="N25" s="38"/>
      <c r="O25" s="38"/>
      <c r="P25" s="38"/>
    </row>
    <row r="26" spans="1:16" ht="12" customHeight="1" thickBot="1">
      <c r="A26" s="129"/>
      <c r="B26" s="73"/>
      <c r="C26" s="29"/>
      <c r="D26" s="29"/>
      <c r="E26" s="226"/>
      <c r="F26" s="189"/>
      <c r="G26" s="101">
        <f>(E26*F26)</f>
        <v>0</v>
      </c>
      <c r="H26" s="189">
        <v>1.08</v>
      </c>
      <c r="I26" s="89">
        <f>(G26*H26)</f>
        <v>0</v>
      </c>
      <c r="J26" s="89"/>
      <c r="K26" s="91" t="s">
        <v>118</v>
      </c>
      <c r="L26" s="92">
        <f>(L28-J28)*$K$7</f>
        <v>0</v>
      </c>
      <c r="M26" s="129"/>
      <c r="N26" s="38"/>
      <c r="O26" s="38"/>
      <c r="P26" s="38"/>
    </row>
    <row r="27" spans="1:16" ht="12" customHeight="1">
      <c r="A27" s="129"/>
      <c r="B27" s="73"/>
      <c r="C27" s="29"/>
      <c r="D27" s="29"/>
      <c r="E27" s="226"/>
      <c r="F27" s="189"/>
      <c r="G27" s="101">
        <f>(E27*F27)</f>
        <v>0</v>
      </c>
      <c r="H27" s="189">
        <v>1.08</v>
      </c>
      <c r="I27" s="89">
        <f>(G27*H27)</f>
        <v>0</v>
      </c>
      <c r="J27" s="90"/>
      <c r="K27" s="93" t="s">
        <v>117</v>
      </c>
      <c r="L27" s="99">
        <f>IF(L12&lt;&gt;0,L28/L12,"?")</f>
        <v>0</v>
      </c>
      <c r="M27" s="129"/>
      <c r="N27" s="38"/>
      <c r="O27" s="38"/>
      <c r="P27" s="38"/>
    </row>
    <row r="28" spans="1:13" ht="13.5" customHeight="1" thickBot="1">
      <c r="A28" s="130"/>
      <c r="B28" s="140" t="s">
        <v>120</v>
      </c>
      <c r="C28" s="141"/>
      <c r="D28" s="141"/>
      <c r="E28" s="141"/>
      <c r="F28" s="141"/>
      <c r="G28" s="160">
        <f>SUM(G24:G27)</f>
        <v>0</v>
      </c>
      <c r="H28" s="160">
        <f>IF(G28&lt;&gt;0,I28/G28,0)</f>
        <v>0</v>
      </c>
      <c r="I28" s="141">
        <f>SUM(I24:I27)</f>
        <v>0</v>
      </c>
      <c r="J28" s="142">
        <f>SUM(I24:I27)</f>
        <v>0</v>
      </c>
      <c r="K28" s="193">
        <v>0.08</v>
      </c>
      <c r="L28" s="143">
        <f>J28/(1-K28)</f>
        <v>0</v>
      </c>
      <c r="M28" s="130"/>
    </row>
    <row r="29" spans="1:13" ht="5.25" customHeight="1" thickBot="1">
      <c r="A29" s="129"/>
      <c r="B29" s="17"/>
      <c r="C29" s="56"/>
      <c r="D29" s="56"/>
      <c r="E29" s="148"/>
      <c r="F29" s="56"/>
      <c r="G29" s="149"/>
      <c r="H29" s="152"/>
      <c r="I29" s="58"/>
      <c r="J29" s="56"/>
      <c r="K29" s="150"/>
      <c r="L29" s="153"/>
      <c r="M29" s="129"/>
    </row>
    <row r="30" spans="1:13" ht="22.5" customHeight="1">
      <c r="A30" s="129"/>
      <c r="B30" s="24" t="s">
        <v>83</v>
      </c>
      <c r="C30" s="210" t="s">
        <v>77</v>
      </c>
      <c r="D30" s="210" t="s">
        <v>26</v>
      </c>
      <c r="E30" s="211" t="s">
        <v>121</v>
      </c>
      <c r="F30" s="210" t="s">
        <v>25</v>
      </c>
      <c r="G30" s="212" t="s">
        <v>78</v>
      </c>
      <c r="H30" s="217" t="s">
        <v>106</v>
      </c>
      <c r="I30" s="210" t="s">
        <v>24</v>
      </c>
      <c r="J30" s="211" t="s">
        <v>93</v>
      </c>
      <c r="K30" s="34" t="s">
        <v>102</v>
      </c>
      <c r="L30" s="35" t="s">
        <v>81</v>
      </c>
      <c r="M30" s="129"/>
    </row>
    <row r="31" spans="1:13" ht="12" customHeight="1">
      <c r="A31" s="129"/>
      <c r="B31" s="73" t="s">
        <v>7</v>
      </c>
      <c r="C31" s="226">
        <v>1</v>
      </c>
      <c r="D31" s="189">
        <v>0.75</v>
      </c>
      <c r="E31" s="96">
        <f aca="true" t="shared" si="0" ref="E31:E44">C31*D31</f>
        <v>0.75</v>
      </c>
      <c r="F31" s="189">
        <v>28</v>
      </c>
      <c r="G31" s="101">
        <f aca="true" t="shared" si="1" ref="G31:G44">E31/60*F31</f>
        <v>0.35000000000000003</v>
      </c>
      <c r="H31" s="189">
        <v>1</v>
      </c>
      <c r="I31" s="89">
        <f aca="true" t="shared" si="2" ref="I31:I44">(G31*H31)</f>
        <v>0.35000000000000003</v>
      </c>
      <c r="J31" s="89"/>
      <c r="K31" s="97"/>
      <c r="L31" s="98"/>
      <c r="M31" s="129"/>
    </row>
    <row r="32" spans="1:13" ht="12" customHeight="1">
      <c r="A32" s="129"/>
      <c r="B32" s="73" t="s">
        <v>6</v>
      </c>
      <c r="C32" s="226">
        <v>1</v>
      </c>
      <c r="D32" s="189">
        <f>10/K7</f>
        <v>0.25</v>
      </c>
      <c r="E32" s="96">
        <f t="shared" si="0"/>
        <v>0.25</v>
      </c>
      <c r="F32" s="189">
        <v>28</v>
      </c>
      <c r="G32" s="101">
        <f>E32/60*F32</f>
        <v>0.11666666666666667</v>
      </c>
      <c r="H32" s="189">
        <v>1</v>
      </c>
      <c r="I32" s="89">
        <f t="shared" si="2"/>
        <v>0.11666666666666667</v>
      </c>
      <c r="J32" s="89"/>
      <c r="K32" s="97"/>
      <c r="L32" s="98"/>
      <c r="M32" s="129"/>
    </row>
    <row r="33" spans="1:13" ht="12" customHeight="1">
      <c r="A33" s="129"/>
      <c r="B33" s="73"/>
      <c r="C33" s="226"/>
      <c r="D33" s="189"/>
      <c r="E33" s="96">
        <f t="shared" si="0"/>
        <v>0</v>
      </c>
      <c r="F33" s="189"/>
      <c r="G33" s="101">
        <f t="shared" si="1"/>
        <v>0</v>
      </c>
      <c r="H33" s="189">
        <v>1</v>
      </c>
      <c r="I33" s="89">
        <f t="shared" si="2"/>
        <v>0</v>
      </c>
      <c r="J33" s="89"/>
      <c r="K33" s="97"/>
      <c r="L33" s="98"/>
      <c r="M33" s="129"/>
    </row>
    <row r="34" spans="1:13" ht="12" customHeight="1">
      <c r="A34" s="129"/>
      <c r="B34" s="73" t="s">
        <v>139</v>
      </c>
      <c r="C34" s="226">
        <v>2</v>
      </c>
      <c r="D34" s="189">
        <v>0.25</v>
      </c>
      <c r="E34" s="96">
        <f t="shared" si="0"/>
        <v>0.5</v>
      </c>
      <c r="F34" s="189">
        <v>28</v>
      </c>
      <c r="G34" s="101">
        <f t="shared" si="1"/>
        <v>0.23333333333333334</v>
      </c>
      <c r="H34" s="189">
        <v>1</v>
      </c>
      <c r="I34" s="89">
        <f t="shared" si="2"/>
        <v>0.23333333333333334</v>
      </c>
      <c r="J34" s="89"/>
      <c r="K34" s="97"/>
      <c r="L34" s="98"/>
      <c r="M34" s="129"/>
    </row>
    <row r="35" spans="1:13" ht="12" customHeight="1">
      <c r="A35" s="129"/>
      <c r="B35" s="75"/>
      <c r="C35" s="226"/>
      <c r="D35" s="189"/>
      <c r="E35" s="96">
        <f t="shared" si="0"/>
        <v>0</v>
      </c>
      <c r="F35" s="189"/>
      <c r="G35" s="101">
        <f t="shared" si="1"/>
        <v>0</v>
      </c>
      <c r="H35" s="189">
        <v>1</v>
      </c>
      <c r="I35" s="89">
        <f t="shared" si="2"/>
        <v>0</v>
      </c>
      <c r="J35" s="89"/>
      <c r="K35" s="97"/>
      <c r="L35" s="98"/>
      <c r="M35" s="129"/>
    </row>
    <row r="36" spans="1:13" ht="12" customHeight="1">
      <c r="A36" s="129"/>
      <c r="B36" s="73"/>
      <c r="C36" s="226"/>
      <c r="D36" s="189"/>
      <c r="E36" s="96">
        <f t="shared" si="0"/>
        <v>0</v>
      </c>
      <c r="F36" s="189"/>
      <c r="G36" s="101">
        <f t="shared" si="1"/>
        <v>0</v>
      </c>
      <c r="H36" s="189">
        <v>1</v>
      </c>
      <c r="I36" s="89">
        <f t="shared" si="2"/>
        <v>0</v>
      </c>
      <c r="J36" s="89"/>
      <c r="K36" s="97"/>
      <c r="L36" s="98"/>
      <c r="M36" s="129"/>
    </row>
    <row r="37" spans="1:13" ht="12" customHeight="1">
      <c r="A37" s="129"/>
      <c r="B37" s="73"/>
      <c r="C37" s="226"/>
      <c r="D37" s="189"/>
      <c r="E37" s="96">
        <f t="shared" si="0"/>
        <v>0</v>
      </c>
      <c r="F37" s="189"/>
      <c r="G37" s="101">
        <f t="shared" si="1"/>
        <v>0</v>
      </c>
      <c r="H37" s="189">
        <v>1</v>
      </c>
      <c r="I37" s="89">
        <f t="shared" si="2"/>
        <v>0</v>
      </c>
      <c r="J37" s="89"/>
      <c r="K37" s="97"/>
      <c r="L37" s="98"/>
      <c r="M37" s="129"/>
    </row>
    <row r="38" spans="1:13" ht="12" customHeight="1">
      <c r="A38" s="129"/>
      <c r="B38" s="73"/>
      <c r="C38" s="226"/>
      <c r="D38" s="189"/>
      <c r="E38" s="96">
        <f t="shared" si="0"/>
        <v>0</v>
      </c>
      <c r="F38" s="189"/>
      <c r="G38" s="101">
        <f t="shared" si="1"/>
        <v>0</v>
      </c>
      <c r="H38" s="189">
        <v>1</v>
      </c>
      <c r="I38" s="89">
        <f t="shared" si="2"/>
        <v>0</v>
      </c>
      <c r="J38" s="89"/>
      <c r="K38" s="97"/>
      <c r="L38" s="98"/>
      <c r="M38" s="129"/>
    </row>
    <row r="39" spans="1:13" ht="12" customHeight="1">
      <c r="A39" s="129"/>
      <c r="B39" s="73"/>
      <c r="C39" s="226"/>
      <c r="D39" s="189"/>
      <c r="E39" s="96">
        <f t="shared" si="0"/>
        <v>0</v>
      </c>
      <c r="F39" s="189"/>
      <c r="G39" s="101">
        <f t="shared" si="1"/>
        <v>0</v>
      </c>
      <c r="H39" s="189">
        <v>1</v>
      </c>
      <c r="I39" s="89">
        <f t="shared" si="2"/>
        <v>0</v>
      </c>
      <c r="J39" s="89"/>
      <c r="K39" s="97"/>
      <c r="L39" s="98"/>
      <c r="M39" s="129"/>
    </row>
    <row r="40" spans="1:13" ht="12" customHeight="1">
      <c r="A40" s="129"/>
      <c r="B40" s="73"/>
      <c r="C40" s="226"/>
      <c r="D40" s="189"/>
      <c r="E40" s="96">
        <f t="shared" si="0"/>
        <v>0</v>
      </c>
      <c r="F40" s="189"/>
      <c r="G40" s="101">
        <f t="shared" si="1"/>
        <v>0</v>
      </c>
      <c r="H40" s="189">
        <v>1</v>
      </c>
      <c r="I40" s="89">
        <f t="shared" si="2"/>
        <v>0</v>
      </c>
      <c r="J40" s="89"/>
      <c r="K40" s="97"/>
      <c r="L40" s="98"/>
      <c r="M40" s="129"/>
    </row>
    <row r="41" spans="1:13" ht="12" customHeight="1">
      <c r="A41" s="129"/>
      <c r="B41" s="73"/>
      <c r="C41" s="226"/>
      <c r="D41" s="189"/>
      <c r="E41" s="96">
        <f t="shared" si="0"/>
        <v>0</v>
      </c>
      <c r="F41" s="189"/>
      <c r="G41" s="101">
        <f t="shared" si="1"/>
        <v>0</v>
      </c>
      <c r="H41" s="189">
        <v>1</v>
      </c>
      <c r="I41" s="89">
        <f t="shared" si="2"/>
        <v>0</v>
      </c>
      <c r="J41" s="89"/>
      <c r="K41" s="97"/>
      <c r="L41" s="98"/>
      <c r="M41" s="129"/>
    </row>
    <row r="42" spans="1:13" ht="12" customHeight="1">
      <c r="A42" s="129"/>
      <c r="B42" s="73"/>
      <c r="C42" s="226"/>
      <c r="D42" s="189"/>
      <c r="E42" s="96">
        <f t="shared" si="0"/>
        <v>0</v>
      </c>
      <c r="F42" s="189"/>
      <c r="G42" s="101">
        <f t="shared" si="1"/>
        <v>0</v>
      </c>
      <c r="H42" s="189">
        <v>1</v>
      </c>
      <c r="I42" s="89">
        <f t="shared" si="2"/>
        <v>0</v>
      </c>
      <c r="J42" s="89"/>
      <c r="K42" s="91" t="s">
        <v>107</v>
      </c>
      <c r="L42" s="92">
        <f>(J45-G45)*$K$7</f>
        <v>0</v>
      </c>
      <c r="M42" s="129"/>
    </row>
    <row r="43" spans="1:13" ht="12" customHeight="1" thickBot="1">
      <c r="A43" s="129"/>
      <c r="B43" s="73"/>
      <c r="C43" s="226"/>
      <c r="D43" s="189"/>
      <c r="E43" s="96">
        <f t="shared" si="0"/>
        <v>0</v>
      </c>
      <c r="F43" s="189"/>
      <c r="G43" s="101">
        <f t="shared" si="1"/>
        <v>0</v>
      </c>
      <c r="H43" s="189">
        <v>1</v>
      </c>
      <c r="I43" s="89">
        <f t="shared" si="2"/>
        <v>0</v>
      </c>
      <c r="J43" s="89"/>
      <c r="K43" s="91" t="s">
        <v>118</v>
      </c>
      <c r="L43" s="92">
        <f>(L45-J45)*$K$7</f>
        <v>28</v>
      </c>
      <c r="M43" s="129"/>
    </row>
    <row r="44" spans="1:13" ht="12" customHeight="1">
      <c r="A44" s="129"/>
      <c r="B44" s="73"/>
      <c r="C44" s="226"/>
      <c r="D44" s="189"/>
      <c r="E44" s="96">
        <f t="shared" si="0"/>
        <v>0</v>
      </c>
      <c r="F44" s="189"/>
      <c r="G44" s="101">
        <f t="shared" si="1"/>
        <v>0</v>
      </c>
      <c r="H44" s="189">
        <v>1</v>
      </c>
      <c r="I44" s="89">
        <f t="shared" si="2"/>
        <v>0</v>
      </c>
      <c r="J44" s="90"/>
      <c r="K44" s="93" t="s">
        <v>117</v>
      </c>
      <c r="L44" s="99">
        <f>IF(L12&lt;&gt;0,L45/L12,"?")</f>
        <v>0.910659238100625</v>
      </c>
      <c r="M44" s="129"/>
    </row>
    <row r="45" spans="1:13" ht="13.5" customHeight="1" thickBot="1">
      <c r="A45" s="130"/>
      <c r="B45" s="144" t="s">
        <v>133</v>
      </c>
      <c r="C45" s="141"/>
      <c r="D45" s="141"/>
      <c r="E45" s="159">
        <f>SUM(E31:E44)</f>
        <v>1.5</v>
      </c>
      <c r="F45" s="160">
        <f>IF(E45&lt;&gt;0,(G45/E45)*60,0)</f>
        <v>27.999999999999996</v>
      </c>
      <c r="G45" s="141">
        <f>SUM(G31:G44)</f>
        <v>0.7</v>
      </c>
      <c r="H45" s="160">
        <f>IF(G45&lt;&gt;0,I45/G45,0)</f>
        <v>1</v>
      </c>
      <c r="I45" s="141">
        <f>SUM(I31:I44)</f>
        <v>0.7</v>
      </c>
      <c r="J45" s="142">
        <f>SUM(I31:I44)</f>
        <v>0.7</v>
      </c>
      <c r="K45" s="193">
        <v>0.5</v>
      </c>
      <c r="L45" s="143">
        <f>J45/(1-K45)</f>
        <v>1.4</v>
      </c>
      <c r="M45" s="130"/>
    </row>
    <row r="46" spans="1:13" ht="5.25" customHeight="1" thickBot="1">
      <c r="A46" s="129"/>
      <c r="B46" s="154"/>
      <c r="C46" s="56"/>
      <c r="D46" s="155"/>
      <c r="E46" s="56"/>
      <c r="F46" s="156"/>
      <c r="G46" s="156"/>
      <c r="H46" s="58"/>
      <c r="I46" s="149"/>
      <c r="J46" s="56"/>
      <c r="K46" s="157"/>
      <c r="L46" s="153"/>
      <c r="M46" s="129"/>
    </row>
    <row r="47" spans="1:14" ht="23.25" customHeight="1" hidden="1">
      <c r="A47" s="131" t="s">
        <v>48</v>
      </c>
      <c r="B47" s="20" t="s">
        <v>38</v>
      </c>
      <c r="C47" s="32" t="s">
        <v>27</v>
      </c>
      <c r="D47" s="46" t="s">
        <v>43</v>
      </c>
      <c r="E47" s="46" t="s">
        <v>44</v>
      </c>
      <c r="F47" s="39" t="s">
        <v>24</v>
      </c>
      <c r="G47" s="31" t="s">
        <v>36</v>
      </c>
      <c r="H47" s="32" t="s">
        <v>53</v>
      </c>
      <c r="I47" s="39" t="s">
        <v>28</v>
      </c>
      <c r="J47" s="32" t="s">
        <v>52</v>
      </c>
      <c r="K47" s="40" t="s">
        <v>29</v>
      </c>
      <c r="L47" s="41" t="s">
        <v>51</v>
      </c>
      <c r="M47" s="131" t="s">
        <v>48</v>
      </c>
      <c r="N47" s="87"/>
    </row>
    <row r="48" spans="1:14" ht="10.5" customHeight="1" hidden="1" thickBot="1">
      <c r="A48" s="131"/>
      <c r="B48" s="73"/>
      <c r="C48" s="45"/>
      <c r="D48" s="47">
        <f>$I$7/$L$7</f>
        <v>2</v>
      </c>
      <c r="E48" s="47">
        <f>C48*D48</f>
        <v>0</v>
      </c>
      <c r="F48" s="36">
        <f>E48/$I$7</f>
        <v>0</v>
      </c>
      <c r="G48" s="36">
        <f>F48</f>
        <v>0</v>
      </c>
      <c r="H48" s="29">
        <v>1</v>
      </c>
      <c r="I48" s="25">
        <f>(G48*H48)</f>
        <v>0</v>
      </c>
      <c r="J48" s="25"/>
      <c r="K48" s="37"/>
      <c r="L48" s="60"/>
      <c r="M48" s="131"/>
      <c r="N48" s="87"/>
    </row>
    <row r="49" spans="1:14" ht="10.5" customHeight="1" hidden="1" thickBot="1">
      <c r="A49" s="131"/>
      <c r="B49" s="73"/>
      <c r="C49" s="45"/>
      <c r="D49" s="47">
        <f>$I$7/$L$7</f>
        <v>2</v>
      </c>
      <c r="E49" s="47">
        <f>C49*D49</f>
        <v>0</v>
      </c>
      <c r="F49" s="36">
        <f>E49/$I$7</f>
        <v>0</v>
      </c>
      <c r="G49" s="36">
        <f>F49</f>
        <v>0</v>
      </c>
      <c r="H49" s="29">
        <v>1</v>
      </c>
      <c r="I49" s="25">
        <f>(G49*H49)</f>
        <v>0</v>
      </c>
      <c r="J49" s="25"/>
      <c r="K49" s="37"/>
      <c r="L49" s="60"/>
      <c r="M49" s="131"/>
      <c r="N49" s="87"/>
    </row>
    <row r="50" spans="1:14" ht="10.5" customHeight="1" hidden="1">
      <c r="A50" s="131"/>
      <c r="B50" s="73" t="s">
        <v>41</v>
      </c>
      <c r="C50" s="45">
        <v>0</v>
      </c>
      <c r="D50" s="47">
        <f>$I$7/$L$7</f>
        <v>2</v>
      </c>
      <c r="E50" s="49">
        <f>C50*D50</f>
        <v>0</v>
      </c>
      <c r="F50" s="36">
        <f>E50/$I$7</f>
        <v>0</v>
      </c>
      <c r="G50" s="36">
        <f>F50</f>
        <v>0</v>
      </c>
      <c r="H50" s="29">
        <v>1</v>
      </c>
      <c r="I50" s="25">
        <f>(G50*H50)</f>
        <v>0</v>
      </c>
      <c r="J50" s="25"/>
      <c r="K50" s="37" t="s">
        <v>37</v>
      </c>
      <c r="L50" s="60">
        <f>(J53-G53)*$K$7</f>
        <v>0</v>
      </c>
      <c r="M50" s="131"/>
      <c r="N50" s="87"/>
    </row>
    <row r="51" spans="1:14" ht="10.5" customHeight="1" hidden="1">
      <c r="A51" s="131"/>
      <c r="B51" s="73" t="s">
        <v>42</v>
      </c>
      <c r="C51" s="45">
        <v>0</v>
      </c>
      <c r="D51" s="47">
        <f>$I$7/$L$7</f>
        <v>2</v>
      </c>
      <c r="E51" s="47">
        <f>C51*D51</f>
        <v>0</v>
      </c>
      <c r="F51" s="36">
        <f>E51/$I$7</f>
        <v>0</v>
      </c>
      <c r="G51" s="36">
        <f>F51</f>
        <v>0</v>
      </c>
      <c r="H51" s="29">
        <v>1</v>
      </c>
      <c r="I51" s="25">
        <f>(G51*H51)</f>
        <v>0</v>
      </c>
      <c r="J51" s="25"/>
      <c r="K51" s="37" t="s">
        <v>46</v>
      </c>
      <c r="L51" s="60">
        <f>(L53-J53)*$K$7</f>
        <v>0</v>
      </c>
      <c r="M51" s="131"/>
      <c r="N51" s="87"/>
    </row>
    <row r="52" spans="1:14" ht="10.5" customHeight="1" hidden="1">
      <c r="A52" s="131"/>
      <c r="B52" s="73" t="s">
        <v>45</v>
      </c>
      <c r="C52" s="45">
        <v>0</v>
      </c>
      <c r="D52" s="47">
        <f>$I$7/$L$7</f>
        <v>2</v>
      </c>
      <c r="E52" s="47">
        <f>C52*D52</f>
        <v>0</v>
      </c>
      <c r="F52" s="36">
        <f>E52/$I$7</f>
        <v>0</v>
      </c>
      <c r="G52" s="36">
        <f>F52</f>
        <v>0</v>
      </c>
      <c r="H52" s="29">
        <v>1</v>
      </c>
      <c r="I52" s="25">
        <f>(G52*H52)</f>
        <v>0</v>
      </c>
      <c r="J52" s="42"/>
      <c r="K52" s="43" t="s">
        <v>29</v>
      </c>
      <c r="L52" s="61">
        <f>IF(L12&lt;&gt;0,L53/L12,"?")</f>
        <v>0</v>
      </c>
      <c r="M52" s="131"/>
      <c r="N52" s="87"/>
    </row>
    <row r="53" spans="1:14" ht="10.5" customHeight="1" hidden="1">
      <c r="A53" s="132" t="s">
        <v>49</v>
      </c>
      <c r="B53" s="76" t="s">
        <v>47</v>
      </c>
      <c r="C53" s="84"/>
      <c r="D53" s="84"/>
      <c r="E53" s="86"/>
      <c r="F53" s="84"/>
      <c r="G53" s="84">
        <f>SUM(G48:G52)</f>
        <v>0</v>
      </c>
      <c r="H53" s="84" t="str">
        <f>IF(G53&lt;&gt;0,I53/G53,"?")</f>
        <v>?</v>
      </c>
      <c r="I53" s="84">
        <f>SUM(I48:I52)</f>
        <v>0</v>
      </c>
      <c r="J53" s="85">
        <f>SUM(I50:I52)</f>
        <v>0</v>
      </c>
      <c r="K53" s="44">
        <v>0.25</v>
      </c>
      <c r="L53" s="62">
        <f>J53/(1-K53)</f>
        <v>0</v>
      </c>
      <c r="M53" s="132" t="s">
        <v>49</v>
      </c>
      <c r="N53" s="87"/>
    </row>
    <row r="54" spans="1:14" ht="5.25" customHeight="1" hidden="1" thickBot="1">
      <c r="A54" s="131"/>
      <c r="B54" s="63"/>
      <c r="C54" s="64"/>
      <c r="D54" s="65"/>
      <c r="E54" s="66"/>
      <c r="F54" s="67"/>
      <c r="G54" s="67"/>
      <c r="H54" s="68"/>
      <c r="I54" s="16"/>
      <c r="J54" s="64"/>
      <c r="K54" s="69"/>
      <c r="L54" s="70"/>
      <c r="M54" s="131"/>
      <c r="N54" s="87"/>
    </row>
    <row r="55" spans="1:13" ht="24.75" customHeight="1">
      <c r="A55" s="129"/>
      <c r="B55" s="20" t="s">
        <v>129</v>
      </c>
      <c r="C55" s="210" t="s">
        <v>27</v>
      </c>
      <c r="D55" s="5"/>
      <c r="E55" s="214" t="s">
        <v>105</v>
      </c>
      <c r="F55" s="209" t="s">
        <v>76</v>
      </c>
      <c r="G55" s="212" t="s">
        <v>78</v>
      </c>
      <c r="H55" s="217" t="s">
        <v>106</v>
      </c>
      <c r="I55" s="209" t="s">
        <v>104</v>
      </c>
      <c r="J55" s="210" t="s">
        <v>93</v>
      </c>
      <c r="K55" s="34" t="s">
        <v>102</v>
      </c>
      <c r="L55" s="41" t="s">
        <v>81</v>
      </c>
      <c r="M55" s="129"/>
    </row>
    <row r="56" spans="1:13" ht="12" customHeight="1">
      <c r="A56" s="129"/>
      <c r="B56" s="73"/>
      <c r="C56" s="194"/>
      <c r="D56" s="89"/>
      <c r="E56" s="100">
        <f>$I$7</f>
        <v>80</v>
      </c>
      <c r="F56" s="101">
        <f>C56/E56</f>
        <v>0</v>
      </c>
      <c r="G56" s="101">
        <f>F56</f>
        <v>0</v>
      </c>
      <c r="H56" s="189">
        <v>1</v>
      </c>
      <c r="I56" s="89">
        <f>(G56*H56)</f>
        <v>0</v>
      </c>
      <c r="J56" s="89"/>
      <c r="K56" s="91"/>
      <c r="L56" s="92"/>
      <c r="M56" s="129"/>
    </row>
    <row r="57" spans="1:13" ht="12" customHeight="1">
      <c r="A57" s="129"/>
      <c r="B57" s="73" t="s">
        <v>126</v>
      </c>
      <c r="C57" s="194"/>
      <c r="D57" s="89"/>
      <c r="E57" s="100">
        <f>$I$7</f>
        <v>80</v>
      </c>
      <c r="F57" s="101">
        <f>C57/E57</f>
        <v>0</v>
      </c>
      <c r="G57" s="101">
        <f>F57</f>
        <v>0</v>
      </c>
      <c r="H57" s="189">
        <v>1</v>
      </c>
      <c r="I57" s="89">
        <f>(G57*H57)</f>
        <v>0</v>
      </c>
      <c r="J57" s="89"/>
      <c r="K57" s="91"/>
      <c r="L57" s="92"/>
      <c r="M57" s="129"/>
    </row>
    <row r="58" spans="1:13" ht="12" customHeight="1">
      <c r="A58" s="129"/>
      <c r="B58" s="73" t="s">
        <v>122</v>
      </c>
      <c r="C58" s="194"/>
      <c r="D58" s="89"/>
      <c r="E58" s="100">
        <f>$I$7</f>
        <v>80</v>
      </c>
      <c r="F58" s="101">
        <f>C58/E58</f>
        <v>0</v>
      </c>
      <c r="G58" s="101">
        <f>F58</f>
        <v>0</v>
      </c>
      <c r="H58" s="189">
        <v>1</v>
      </c>
      <c r="I58" s="89">
        <f>(G58*H58)</f>
        <v>0</v>
      </c>
      <c r="J58" s="89"/>
      <c r="K58" s="91" t="s">
        <v>107</v>
      </c>
      <c r="L58" s="92">
        <f>(J61-G61)*$K$7</f>
        <v>0</v>
      </c>
      <c r="M58" s="129"/>
    </row>
    <row r="59" spans="1:13" ht="12" customHeight="1" thickBot="1">
      <c r="A59" s="129"/>
      <c r="B59" s="73" t="s">
        <v>119</v>
      </c>
      <c r="C59" s="194"/>
      <c r="D59" s="89"/>
      <c r="E59" s="100">
        <f>$I$7</f>
        <v>80</v>
      </c>
      <c r="F59" s="101">
        <f>C59/E59</f>
        <v>0</v>
      </c>
      <c r="G59" s="101">
        <f>F59</f>
        <v>0</v>
      </c>
      <c r="H59" s="189">
        <v>1</v>
      </c>
      <c r="I59" s="89">
        <f>(G59*H59)</f>
        <v>0</v>
      </c>
      <c r="J59" s="89"/>
      <c r="K59" s="91" t="s">
        <v>118</v>
      </c>
      <c r="L59" s="92">
        <f>(L61-J61)*$K$7</f>
        <v>0</v>
      </c>
      <c r="M59" s="129"/>
    </row>
    <row r="60" spans="1:13" ht="12" customHeight="1">
      <c r="A60" s="129"/>
      <c r="B60" s="73" t="s">
        <v>128</v>
      </c>
      <c r="C60" s="194"/>
      <c r="D60" s="89"/>
      <c r="E60" s="100">
        <f>$I$7</f>
        <v>80</v>
      </c>
      <c r="F60" s="101">
        <f>C60/E60</f>
        <v>0</v>
      </c>
      <c r="G60" s="101">
        <f>F60</f>
        <v>0</v>
      </c>
      <c r="H60" s="189">
        <v>1</v>
      </c>
      <c r="I60" s="89">
        <f>(G60*H60)</f>
        <v>0</v>
      </c>
      <c r="J60" s="90"/>
      <c r="K60" s="93" t="s">
        <v>117</v>
      </c>
      <c r="L60" s="99">
        <f>IF(L12&lt;&gt;0,L61/L12,"?")</f>
        <v>0</v>
      </c>
      <c r="M60" s="129"/>
    </row>
    <row r="61" spans="1:13" ht="13.5" customHeight="1" thickBot="1">
      <c r="A61" s="130"/>
      <c r="B61" s="114" t="s">
        <v>132</v>
      </c>
      <c r="C61" s="115"/>
      <c r="D61" s="115"/>
      <c r="E61" s="116"/>
      <c r="F61" s="115"/>
      <c r="G61" s="117">
        <f>SUM(G56:G60)</f>
        <v>0</v>
      </c>
      <c r="H61" s="117">
        <f>IF(G61&lt;&gt;0,I61/G61,0)</f>
        <v>0</v>
      </c>
      <c r="I61" s="115">
        <f>SUM(I56:I60)</f>
        <v>0</v>
      </c>
      <c r="J61" s="118">
        <f>SUM(I56:I60)</f>
        <v>0</v>
      </c>
      <c r="K61" s="192">
        <v>0.25</v>
      </c>
      <c r="L61" s="119">
        <f>J61/(1-K61)</f>
        <v>0</v>
      </c>
      <c r="M61" s="130"/>
    </row>
    <row r="62" spans="1:13" ht="5.25" customHeight="1" thickBot="1">
      <c r="A62" s="138"/>
      <c r="B62" s="133"/>
      <c r="C62" s="134"/>
      <c r="D62" s="134"/>
      <c r="E62" s="134"/>
      <c r="F62" s="134"/>
      <c r="G62" s="134"/>
      <c r="H62" s="134"/>
      <c r="I62" s="134"/>
      <c r="J62" s="135"/>
      <c r="K62" s="134"/>
      <c r="L62" s="136"/>
      <c r="M62" s="138"/>
    </row>
    <row r="63" spans="1:13" ht="12.75">
      <c r="A63" s="7"/>
      <c r="B63" s="13"/>
      <c r="C63" s="3"/>
      <c r="D63" s="3"/>
      <c r="E63" s="3"/>
      <c r="F63" s="50"/>
      <c r="G63" s="3"/>
      <c r="H63" s="3"/>
      <c r="I63" s="6"/>
      <c r="J63" s="3"/>
      <c r="M63" s="7"/>
    </row>
    <row r="64" spans="1:13" ht="12.75">
      <c r="A64" s="8"/>
      <c r="B64" s="26"/>
      <c r="C64" s="26"/>
      <c r="D64" s="26"/>
      <c r="E64" s="26"/>
      <c r="F64" s="26"/>
      <c r="G64" s="26"/>
      <c r="H64" s="4"/>
      <c r="I64" s="4"/>
      <c r="J64" s="6"/>
      <c r="K64" s="4"/>
      <c r="L64" s="53"/>
      <c r="M64" s="8"/>
    </row>
    <row r="65" spans="1:13" ht="12.75">
      <c r="A65" s="8"/>
      <c r="B65" s="7"/>
      <c r="C65" s="7"/>
      <c r="D65" s="7"/>
      <c r="E65" s="7"/>
      <c r="F65" s="7"/>
      <c r="G65" s="7"/>
      <c r="H65" s="4"/>
      <c r="I65" s="4"/>
      <c r="J65" s="6"/>
      <c r="K65" s="4"/>
      <c r="L65" s="54"/>
      <c r="M65" s="8"/>
    </row>
    <row r="66" spans="1:13" ht="13.5">
      <c r="A66" s="8"/>
      <c r="B66" s="7"/>
      <c r="C66" s="7"/>
      <c r="D66" s="7"/>
      <c r="E66" s="7"/>
      <c r="F66" s="7"/>
      <c r="G66" s="7"/>
      <c r="H66" s="4"/>
      <c r="I66" s="4"/>
      <c r="J66" s="6"/>
      <c r="K66" s="4"/>
      <c r="L66" s="53"/>
      <c r="M66" s="8"/>
    </row>
    <row r="67" spans="1:13" ht="13.5">
      <c r="A67" s="8"/>
      <c r="B67" s="7"/>
      <c r="C67" s="7"/>
      <c r="D67" s="7"/>
      <c r="E67" s="7"/>
      <c r="F67" s="7"/>
      <c r="G67" s="7"/>
      <c r="H67" s="8"/>
      <c r="I67" s="8"/>
      <c r="J67" s="8"/>
      <c r="K67" s="8"/>
      <c r="L67" s="8"/>
      <c r="M67" s="8"/>
    </row>
    <row r="68" spans="1:13" ht="13.5">
      <c r="A68" s="8"/>
      <c r="B68" s="7"/>
      <c r="C68" s="7"/>
      <c r="D68" s="7"/>
      <c r="E68" s="7"/>
      <c r="F68" s="7"/>
      <c r="G68" s="7"/>
      <c r="H68" s="8"/>
      <c r="I68" s="8"/>
      <c r="J68" s="8"/>
      <c r="K68" s="8"/>
      <c r="L68" s="8"/>
      <c r="M68" s="8"/>
    </row>
    <row r="69" spans="1:13" ht="13.5">
      <c r="A69" s="7"/>
      <c r="B69" s="8"/>
      <c r="C69" s="7"/>
      <c r="D69" s="7"/>
      <c r="E69" s="7"/>
      <c r="F69" s="7"/>
      <c r="G69" s="7"/>
      <c r="H69" s="7"/>
      <c r="I69" s="7"/>
      <c r="J69" s="7"/>
      <c r="K69" s="8"/>
      <c r="L69" s="7"/>
      <c r="M69" s="7"/>
    </row>
    <row r="70" spans="1:13" ht="13.5">
      <c r="A70" s="7"/>
      <c r="B70" s="8"/>
      <c r="C70" s="9"/>
      <c r="D70" s="8"/>
      <c r="E70" s="7"/>
      <c r="F70" s="7"/>
      <c r="G70" s="7"/>
      <c r="H70" s="7"/>
      <c r="I70" s="7"/>
      <c r="J70" s="7"/>
      <c r="K70" s="8"/>
      <c r="L70" s="7"/>
      <c r="M70" s="7"/>
    </row>
    <row r="71" spans="1:13" ht="13.5">
      <c r="A71" s="7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</row>
    <row r="72" spans="1:13" ht="13.5">
      <c r="A72" s="7"/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  <c r="M72" s="7"/>
    </row>
    <row r="73" spans="1:13" ht="13.5">
      <c r="A73" s="7"/>
      <c r="B73" s="7"/>
      <c r="C73" s="7"/>
      <c r="D73" s="7"/>
      <c r="E73" s="7"/>
      <c r="F73" s="7"/>
      <c r="G73" s="7"/>
      <c r="H73" s="8"/>
      <c r="I73" s="8"/>
      <c r="J73" s="7"/>
      <c r="K73" s="7"/>
      <c r="L73" s="7"/>
      <c r="M73" s="7"/>
    </row>
    <row r="74" spans="1:13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3.5">
      <c r="A75" s="7"/>
      <c r="B75" s="1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3.5">
      <c r="A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3.5">
      <c r="A80" s="7"/>
      <c r="B80" s="7"/>
      <c r="C80" s="26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3.5">
      <c r="A84" s="7"/>
      <c r="B84" s="11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3.5">
      <c r="A85" s="7"/>
      <c r="B85" s="7"/>
      <c r="C85" s="12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3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3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3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3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3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3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3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3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3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3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3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3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3.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3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3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3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3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3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3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3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3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3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3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3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3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3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3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3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3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3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3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3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3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3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3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3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</sheetData>
  <sheetProtection/>
  <mergeCells count="16">
    <mergeCell ref="F2:H2"/>
    <mergeCell ref="I2:J2"/>
    <mergeCell ref="C5:E5"/>
    <mergeCell ref="F5:L5"/>
    <mergeCell ref="C4:E4"/>
    <mergeCell ref="F4:L4"/>
    <mergeCell ref="N18:P23"/>
    <mergeCell ref="G6:H7"/>
    <mergeCell ref="B2:B3"/>
    <mergeCell ref="C2:E2"/>
    <mergeCell ref="B6:B7"/>
    <mergeCell ref="G8:L9"/>
    <mergeCell ref="K2:L2"/>
    <mergeCell ref="C3:E3"/>
    <mergeCell ref="F3:L3"/>
    <mergeCell ref="B4:B5"/>
  </mergeCells>
  <printOptions/>
  <pageMargins left="0.75" right="0.75" top="1" bottom="1" header="0.4921259845" footer="0.4921259845"/>
  <pageSetup fitToHeight="1" fitToWidth="1" horizontalDpi="600" verticalDpi="600" orientation="portrait" paperSize="9" scale="8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0"/>
  <sheetViews>
    <sheetView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O11" sqref="O11"/>
    </sheetView>
  </sheetViews>
  <sheetFormatPr defaultColWidth="9.140625" defaultRowHeight="12.75"/>
  <cols>
    <col min="1" max="1" width="0.71875" style="1" customWidth="1"/>
    <col min="2" max="2" width="28.28125" style="1" customWidth="1"/>
    <col min="3" max="7" width="8.7109375" style="1" customWidth="1"/>
    <col min="8" max="8" width="9.7109375" style="1" customWidth="1"/>
    <col min="9" max="11" width="8.7109375" style="1" customWidth="1"/>
    <col min="12" max="12" width="9.28125" style="1" customWidth="1"/>
    <col min="13" max="13" width="0.71875" style="1" customWidth="1"/>
    <col min="76" max="16384" width="9.140625" style="1" customWidth="1"/>
  </cols>
  <sheetData>
    <row r="1" spans="1:13" ht="5.25" customHeight="1" thickBot="1">
      <c r="A1" s="138"/>
      <c r="B1" s="133"/>
      <c r="C1" s="134"/>
      <c r="D1" s="134"/>
      <c r="E1" s="134"/>
      <c r="F1" s="134"/>
      <c r="G1" s="134"/>
      <c r="H1" s="134"/>
      <c r="I1" s="134"/>
      <c r="J1" s="135"/>
      <c r="K1" s="134"/>
      <c r="L1" s="136"/>
      <c r="M1" s="138"/>
    </row>
    <row r="2" spans="1:14" ht="15" customHeight="1">
      <c r="A2" s="128"/>
      <c r="B2" s="284"/>
      <c r="C2" s="239" t="s">
        <v>114</v>
      </c>
      <c r="D2" s="240"/>
      <c r="E2" s="241"/>
      <c r="F2" s="294" t="str">
        <f>Product!F2</f>
        <v>Kari Kolehmainen</v>
      </c>
      <c r="G2" s="295"/>
      <c r="H2" s="245"/>
      <c r="I2" s="233" t="s">
        <v>73</v>
      </c>
      <c r="J2" s="234"/>
      <c r="K2" s="286" t="str">
        <f>Product!K2</f>
        <v>22.1 2014</v>
      </c>
      <c r="L2" s="287"/>
      <c r="M2" s="128"/>
      <c r="N2" t="s">
        <v>31</v>
      </c>
    </row>
    <row r="3" spans="1:14" ht="15" customHeight="1">
      <c r="A3" s="123"/>
      <c r="B3" s="285"/>
      <c r="C3" s="288" t="s">
        <v>69</v>
      </c>
      <c r="D3" s="289"/>
      <c r="E3" s="290"/>
      <c r="F3" s="291">
        <f>Product!F3</f>
        <v>0</v>
      </c>
      <c r="G3" s="292"/>
      <c r="H3" s="292"/>
      <c r="I3" s="292"/>
      <c r="J3" s="292"/>
      <c r="K3" s="292"/>
      <c r="L3" s="293"/>
      <c r="M3" s="123"/>
      <c r="N3" t="s">
        <v>30</v>
      </c>
    </row>
    <row r="4" spans="1:14" ht="15" customHeight="1">
      <c r="A4" s="129"/>
      <c r="B4" s="273" t="s">
        <v>67</v>
      </c>
      <c r="C4" s="288" t="s">
        <v>70</v>
      </c>
      <c r="D4" s="289"/>
      <c r="E4" s="290"/>
      <c r="F4" s="291" t="s">
        <v>21</v>
      </c>
      <c r="G4" s="292"/>
      <c r="H4" s="292"/>
      <c r="I4" s="292"/>
      <c r="J4" s="292"/>
      <c r="K4" s="292"/>
      <c r="L4" s="293"/>
      <c r="M4" s="129"/>
      <c r="N4" t="s">
        <v>59</v>
      </c>
    </row>
    <row r="5" spans="1:14" ht="15" customHeight="1" thickBot="1">
      <c r="A5" s="129"/>
      <c r="B5" s="273"/>
      <c r="C5" s="288"/>
      <c r="D5" s="289"/>
      <c r="E5" s="290"/>
      <c r="F5" s="296" t="s">
        <v>20</v>
      </c>
      <c r="G5" s="297"/>
      <c r="H5" s="297"/>
      <c r="I5" s="297"/>
      <c r="J5" s="297"/>
      <c r="K5" s="297"/>
      <c r="L5" s="298"/>
      <c r="M5" s="129"/>
      <c r="N5" s="187" t="s">
        <v>58</v>
      </c>
    </row>
    <row r="6" spans="1:14" ht="12.75" customHeight="1">
      <c r="A6" s="129"/>
      <c r="B6" s="273" t="s">
        <v>74</v>
      </c>
      <c r="C6" s="79" t="s">
        <v>71</v>
      </c>
      <c r="D6" s="77"/>
      <c r="E6" s="77"/>
      <c r="F6" s="197" t="s">
        <v>90</v>
      </c>
      <c r="G6" s="277"/>
      <c r="H6" s="278"/>
      <c r="I6" s="174" t="s">
        <v>98</v>
      </c>
      <c r="J6" s="113"/>
      <c r="K6" s="176" t="s">
        <v>99</v>
      </c>
      <c r="L6" s="176" t="s">
        <v>100</v>
      </c>
      <c r="M6" s="129"/>
      <c r="N6" t="s">
        <v>32</v>
      </c>
    </row>
    <row r="7" spans="1:14" ht="12.75" customHeight="1" thickBot="1">
      <c r="A7" s="129"/>
      <c r="B7" s="273"/>
      <c r="C7" s="80"/>
      <c r="D7" s="78"/>
      <c r="E7" s="78"/>
      <c r="F7" s="198" t="s">
        <v>50</v>
      </c>
      <c r="G7" s="279"/>
      <c r="H7" s="280"/>
      <c r="I7" s="185">
        <v>200</v>
      </c>
      <c r="J7" s="177" t="s">
        <v>56</v>
      </c>
      <c r="K7" s="196">
        <v>200</v>
      </c>
      <c r="L7" s="195">
        <v>200</v>
      </c>
      <c r="M7" s="129"/>
      <c r="N7" t="s">
        <v>33</v>
      </c>
    </row>
    <row r="8" spans="1:13" ht="19.5" customHeight="1" thickBot="1">
      <c r="A8" s="129"/>
      <c r="B8" s="27"/>
      <c r="C8" s="14"/>
      <c r="D8" s="55"/>
      <c r="E8" s="82"/>
      <c r="F8" s="48"/>
      <c r="G8" s="269" t="s">
        <v>112</v>
      </c>
      <c r="H8" s="269"/>
      <c r="I8" s="269"/>
      <c r="J8" s="269"/>
      <c r="K8" s="269"/>
      <c r="L8" s="270"/>
      <c r="M8" s="129"/>
    </row>
    <row r="9" spans="1:13" ht="19.5" customHeight="1" thickBot="1">
      <c r="A9" s="129"/>
      <c r="B9" s="15"/>
      <c r="C9" s="63"/>
      <c r="D9" s="72"/>
      <c r="E9" s="215" t="s">
        <v>110</v>
      </c>
      <c r="F9" s="221">
        <v>2</v>
      </c>
      <c r="G9" s="271"/>
      <c r="H9" s="271"/>
      <c r="I9" s="271"/>
      <c r="J9" s="271"/>
      <c r="K9" s="271"/>
      <c r="L9" s="272"/>
      <c r="M9" s="129"/>
    </row>
    <row r="10" spans="1:13" ht="5.25" customHeight="1" thickBot="1">
      <c r="A10" s="129"/>
      <c r="B10" s="124"/>
      <c r="C10" s="125"/>
      <c r="D10" s="121"/>
      <c r="E10" s="125"/>
      <c r="F10" s="121"/>
      <c r="G10" s="121"/>
      <c r="H10" s="125"/>
      <c r="I10" s="121"/>
      <c r="J10" s="125"/>
      <c r="K10" s="126"/>
      <c r="L10" s="127"/>
      <c r="M10" s="129"/>
    </row>
    <row r="11" spans="1:13" ht="24.75" customHeight="1" thickBot="1">
      <c r="A11" s="129"/>
      <c r="B11" s="17" t="s">
        <v>85</v>
      </c>
      <c r="C11" s="18"/>
      <c r="D11" s="19"/>
      <c r="E11" s="213" t="s">
        <v>109</v>
      </c>
      <c r="F11" s="216" t="s">
        <v>89</v>
      </c>
      <c r="G11" s="21" t="s">
        <v>95</v>
      </c>
      <c r="H11" s="213" t="s">
        <v>107</v>
      </c>
      <c r="I11" s="216" t="s">
        <v>108</v>
      </c>
      <c r="J11" s="213" t="s">
        <v>93</v>
      </c>
      <c r="K11" s="22" t="s">
        <v>101</v>
      </c>
      <c r="L11" s="23" t="s">
        <v>81</v>
      </c>
      <c r="M11" s="129"/>
    </row>
    <row r="12" spans="1:13" ht="13.5" thickBot="1">
      <c r="A12" s="130"/>
      <c r="B12" s="14"/>
      <c r="C12" s="2"/>
      <c r="D12" s="3"/>
      <c r="E12" s="102">
        <f>IF($E$45&lt;&gt;0,(60/$E$45*(L12-J12)),0)</f>
        <v>0</v>
      </c>
      <c r="F12" s="103">
        <f>(E45/60)*$I$7</f>
        <v>0</v>
      </c>
      <c r="G12" s="111">
        <f>G21+G28+G45+G53+G61</f>
        <v>0.2</v>
      </c>
      <c r="H12" s="104">
        <f>(J12-G12)*$K$7</f>
        <v>3.200000000000003</v>
      </c>
      <c r="I12" s="104">
        <f>(L12-J12)*$K$7</f>
        <v>3.756521739130431</v>
      </c>
      <c r="J12" s="105">
        <f>SUM(J17:J61)</f>
        <v>0.21600000000000003</v>
      </c>
      <c r="K12" s="106">
        <f>IF(L12&lt;&gt;0,(L12-J12)/L12,0)</f>
        <v>0.0799999999999999</v>
      </c>
      <c r="L12" s="107">
        <f>L21+L28+L45+L53+L61</f>
        <v>0.23478260869565218</v>
      </c>
      <c r="M12" s="130"/>
    </row>
    <row r="13" spans="1:13" ht="13.5" thickBot="1">
      <c r="A13" s="129"/>
      <c r="B13" s="13"/>
      <c r="C13" s="2"/>
      <c r="D13" s="3"/>
      <c r="E13" s="3"/>
      <c r="F13" s="3"/>
      <c r="G13" s="3"/>
      <c r="H13" s="3"/>
      <c r="I13" s="3"/>
      <c r="J13" s="3"/>
      <c r="K13" s="3"/>
      <c r="L13" s="108" t="s">
        <v>94</v>
      </c>
      <c r="M13" s="129"/>
    </row>
    <row r="14" spans="1:13" ht="13.5" thickBot="1">
      <c r="A14" s="129"/>
      <c r="B14" s="15"/>
      <c r="C14" s="71"/>
      <c r="D14" s="16"/>
      <c r="E14" s="102">
        <f>IF($E$45&lt;&gt;0,(60/$E$45*(L14-J12)),0)</f>
        <v>0</v>
      </c>
      <c r="F14" s="56"/>
      <c r="G14" s="112">
        <f>G12</f>
        <v>0.2</v>
      </c>
      <c r="H14" s="57"/>
      <c r="I14" s="104">
        <f>(L14-J12)*$K$7</f>
        <v>2.799999999999997</v>
      </c>
      <c r="J14" s="58"/>
      <c r="K14" s="106">
        <f>IF(L14&lt;&gt;0,(L14-J12)/L14,"?")</f>
        <v>0.06086956521739124</v>
      </c>
      <c r="L14" s="188">
        <v>0.23</v>
      </c>
      <c r="M14" s="129"/>
    </row>
    <row r="15" spans="1:13" ht="5.25" customHeight="1" thickBot="1">
      <c r="A15" s="129"/>
      <c r="B15" s="120"/>
      <c r="C15" s="121"/>
      <c r="D15" s="121"/>
      <c r="E15" s="121"/>
      <c r="F15" s="121"/>
      <c r="G15" s="121"/>
      <c r="H15" s="121"/>
      <c r="I15" s="121"/>
      <c r="J15" s="122"/>
      <c r="K15" s="121"/>
      <c r="L15" s="123"/>
      <c r="M15" s="129"/>
    </row>
    <row r="16" spans="1:13" ht="22.5" customHeight="1">
      <c r="A16" s="129"/>
      <c r="B16" s="24" t="s">
        <v>82</v>
      </c>
      <c r="C16" s="210" t="s">
        <v>63</v>
      </c>
      <c r="D16" s="210" t="s">
        <v>64</v>
      </c>
      <c r="E16" s="211" t="s">
        <v>86</v>
      </c>
      <c r="F16" s="210" t="s">
        <v>76</v>
      </c>
      <c r="G16" s="31" t="s">
        <v>78</v>
      </c>
      <c r="H16" s="217" t="s">
        <v>106</v>
      </c>
      <c r="I16" s="210" t="s">
        <v>87</v>
      </c>
      <c r="J16" s="211" t="s">
        <v>93</v>
      </c>
      <c r="K16" s="161"/>
      <c r="L16" s="163" t="s">
        <v>81</v>
      </c>
      <c r="M16" s="129"/>
    </row>
    <row r="17" spans="1:13" ht="12" customHeight="1" thickBot="1">
      <c r="A17" s="129"/>
      <c r="B17" s="73" t="s">
        <v>22</v>
      </c>
      <c r="C17" s="29">
        <v>0.01</v>
      </c>
      <c r="D17" s="29">
        <v>20</v>
      </c>
      <c r="E17" s="226">
        <v>1</v>
      </c>
      <c r="F17" s="189">
        <f>D17*C17</f>
        <v>0.2</v>
      </c>
      <c r="G17" s="101">
        <f>(E17*F17)</f>
        <v>0.2</v>
      </c>
      <c r="H17" s="189">
        <v>1.08</v>
      </c>
      <c r="I17" s="89">
        <f>(G17*H17)</f>
        <v>0.21600000000000003</v>
      </c>
      <c r="J17" s="89"/>
      <c r="K17" s="89"/>
      <c r="L17" s="98"/>
      <c r="M17" s="129"/>
    </row>
    <row r="18" spans="1:16" ht="12" customHeight="1">
      <c r="A18" s="129"/>
      <c r="B18" s="73"/>
      <c r="C18" s="29"/>
      <c r="D18" s="29"/>
      <c r="E18" s="226"/>
      <c r="F18" s="189"/>
      <c r="G18" s="101">
        <f>(E18*F18)</f>
        <v>0</v>
      </c>
      <c r="H18" s="189">
        <v>1.08</v>
      </c>
      <c r="I18" s="89">
        <f>(G18*H18)</f>
        <v>0</v>
      </c>
      <c r="J18" s="89"/>
      <c r="K18" s="91" t="s">
        <v>107</v>
      </c>
      <c r="L18" s="92">
        <f>(J21-G21)*$K$7</f>
        <v>3.200000000000003</v>
      </c>
      <c r="M18" s="129"/>
      <c r="N18" s="281" t="s">
        <v>55</v>
      </c>
      <c r="O18" s="259"/>
      <c r="P18" s="260"/>
    </row>
    <row r="19" spans="1:16" ht="12" customHeight="1" thickBot="1">
      <c r="A19" s="129"/>
      <c r="B19" s="73"/>
      <c r="C19" s="29"/>
      <c r="D19" s="29"/>
      <c r="E19" s="226"/>
      <c r="F19" s="189"/>
      <c r="G19" s="101">
        <f>(E19*F19)</f>
        <v>0</v>
      </c>
      <c r="H19" s="189">
        <v>1.08</v>
      </c>
      <c r="I19" s="89">
        <f>(G19*H19)</f>
        <v>0</v>
      </c>
      <c r="J19" s="89"/>
      <c r="K19" s="91" t="s">
        <v>118</v>
      </c>
      <c r="L19" s="92">
        <f>(L21-J21)*$K$7</f>
        <v>3.756521739130431</v>
      </c>
      <c r="M19" s="129"/>
      <c r="N19" s="282"/>
      <c r="O19" s="261"/>
      <c r="P19" s="262"/>
    </row>
    <row r="20" spans="1:16" ht="12" customHeight="1">
      <c r="A20" s="129"/>
      <c r="B20" s="74"/>
      <c r="C20" s="30"/>
      <c r="D20" s="30"/>
      <c r="E20" s="226"/>
      <c r="F20" s="190"/>
      <c r="G20" s="101">
        <f>(E20*F20)</f>
        <v>0</v>
      </c>
      <c r="H20" s="191">
        <v>1.08</v>
      </c>
      <c r="I20" s="89">
        <f>(G20*H20)</f>
        <v>0</v>
      </c>
      <c r="J20" s="90"/>
      <c r="K20" s="93" t="s">
        <v>117</v>
      </c>
      <c r="L20" s="95">
        <f>IF(L12&lt;&gt;0,L21/L12,"?")</f>
        <v>1</v>
      </c>
      <c r="M20" s="129"/>
      <c r="N20" s="282"/>
      <c r="O20" s="261"/>
      <c r="P20" s="262"/>
    </row>
    <row r="21" spans="1:16" ht="12" customHeight="1" thickBot="1">
      <c r="A21" s="130"/>
      <c r="B21" s="140" t="s">
        <v>88</v>
      </c>
      <c r="C21" s="141"/>
      <c r="D21" s="141"/>
      <c r="E21" s="141"/>
      <c r="F21" s="141"/>
      <c r="G21" s="160">
        <f>SUM(G17:G20)</f>
        <v>0.2</v>
      </c>
      <c r="H21" s="160">
        <f>IF(G21&lt;&gt;0,I21/G21,0)</f>
        <v>1.08</v>
      </c>
      <c r="I21" s="141">
        <f>SUM(I17:I20)</f>
        <v>0.21600000000000003</v>
      </c>
      <c r="J21" s="142">
        <f>SUM(I17:I20)</f>
        <v>0.21600000000000003</v>
      </c>
      <c r="K21" s="193">
        <v>0.08</v>
      </c>
      <c r="L21" s="143">
        <f>J21/(1-K21)</f>
        <v>0.23478260869565218</v>
      </c>
      <c r="M21" s="130"/>
      <c r="N21" s="282"/>
      <c r="O21" s="261"/>
      <c r="P21" s="262"/>
    </row>
    <row r="22" spans="1:16" ht="5.25" customHeight="1" thickBot="1">
      <c r="A22" s="129"/>
      <c r="B22" s="147"/>
      <c r="C22" s="56"/>
      <c r="D22" s="56"/>
      <c r="E22" s="148"/>
      <c r="F22" s="56"/>
      <c r="G22" s="149"/>
      <c r="H22" s="149"/>
      <c r="I22" s="105"/>
      <c r="J22" s="56"/>
      <c r="K22" s="150"/>
      <c r="L22" s="151"/>
      <c r="M22" s="129"/>
      <c r="N22" s="282"/>
      <c r="O22" s="261"/>
      <c r="P22" s="262"/>
    </row>
    <row r="23" spans="1:16" ht="24.75" customHeight="1" thickBot="1">
      <c r="A23" s="129"/>
      <c r="B23" s="24" t="s">
        <v>84</v>
      </c>
      <c r="C23" s="210" t="s">
        <v>34</v>
      </c>
      <c r="D23" s="210" t="s">
        <v>35</v>
      </c>
      <c r="E23" s="211" t="s">
        <v>86</v>
      </c>
      <c r="F23" s="210" t="s">
        <v>76</v>
      </c>
      <c r="G23" s="31" t="s">
        <v>78</v>
      </c>
      <c r="H23" s="217" t="s">
        <v>106</v>
      </c>
      <c r="I23" s="210" t="s">
        <v>104</v>
      </c>
      <c r="J23" s="211" t="s">
        <v>93</v>
      </c>
      <c r="K23" s="161"/>
      <c r="L23" s="163" t="s">
        <v>81</v>
      </c>
      <c r="M23" s="129"/>
      <c r="N23" s="283"/>
      <c r="O23" s="263"/>
      <c r="P23" s="264"/>
    </row>
    <row r="24" spans="1:16" ht="12" customHeight="1">
      <c r="A24" s="129"/>
      <c r="B24" s="73"/>
      <c r="C24" s="29"/>
      <c r="D24" s="29"/>
      <c r="E24" s="226"/>
      <c r="F24" s="189"/>
      <c r="G24" s="101">
        <f>(E24*F24)</f>
        <v>0</v>
      </c>
      <c r="H24" s="189">
        <v>1.08</v>
      </c>
      <c r="I24" s="89">
        <f>(G24*H24)</f>
        <v>0</v>
      </c>
      <c r="J24" s="89"/>
      <c r="K24" s="91"/>
      <c r="L24" s="92"/>
      <c r="M24" s="129"/>
      <c r="N24" s="38"/>
      <c r="O24" s="38"/>
      <c r="P24" s="38"/>
    </row>
    <row r="25" spans="1:16" ht="12" customHeight="1">
      <c r="A25" s="129"/>
      <c r="B25" s="73"/>
      <c r="C25" s="29"/>
      <c r="D25" s="29"/>
      <c r="E25" s="226"/>
      <c r="F25" s="189"/>
      <c r="G25" s="101">
        <f>(E25*F25)</f>
        <v>0</v>
      </c>
      <c r="H25" s="189">
        <v>1.08</v>
      </c>
      <c r="I25" s="89">
        <f>(G25*H25)</f>
        <v>0</v>
      </c>
      <c r="J25" s="89"/>
      <c r="K25" s="91" t="s">
        <v>107</v>
      </c>
      <c r="L25" s="92">
        <f>(J28-G28)*$K$7</f>
        <v>0</v>
      </c>
      <c r="M25" s="129"/>
      <c r="N25" s="38"/>
      <c r="O25" s="38"/>
      <c r="P25" s="38"/>
    </row>
    <row r="26" spans="1:16" ht="12" customHeight="1" thickBot="1">
      <c r="A26" s="129"/>
      <c r="B26" s="73"/>
      <c r="C26" s="29"/>
      <c r="D26" s="29"/>
      <c r="E26" s="226"/>
      <c r="F26" s="189"/>
      <c r="G26" s="101">
        <f>(E26*F26)</f>
        <v>0</v>
      </c>
      <c r="H26" s="189">
        <v>1.08</v>
      </c>
      <c r="I26" s="89">
        <f>(G26*H26)</f>
        <v>0</v>
      </c>
      <c r="J26" s="89"/>
      <c r="K26" s="91" t="s">
        <v>118</v>
      </c>
      <c r="L26" s="92">
        <f>(L28-J28)*$K$7</f>
        <v>0</v>
      </c>
      <c r="M26" s="129"/>
      <c r="N26" s="38"/>
      <c r="O26" s="38"/>
      <c r="P26" s="38"/>
    </row>
    <row r="27" spans="1:16" ht="12" customHeight="1">
      <c r="A27" s="129"/>
      <c r="B27" s="73"/>
      <c r="C27" s="29"/>
      <c r="D27" s="29"/>
      <c r="E27" s="226"/>
      <c r="F27" s="189"/>
      <c r="G27" s="101">
        <f>(E27*F27)</f>
        <v>0</v>
      </c>
      <c r="H27" s="189">
        <v>1.08</v>
      </c>
      <c r="I27" s="89">
        <f>(G27*H27)</f>
        <v>0</v>
      </c>
      <c r="J27" s="90"/>
      <c r="K27" s="93" t="s">
        <v>117</v>
      </c>
      <c r="L27" s="99">
        <f>IF(L12&lt;&gt;0,L28/L12,"?")</f>
        <v>0</v>
      </c>
      <c r="M27" s="129"/>
      <c r="N27" s="38"/>
      <c r="O27" s="38"/>
      <c r="P27" s="38"/>
    </row>
    <row r="28" spans="1:13" ht="13.5" customHeight="1" thickBot="1">
      <c r="A28" s="130"/>
      <c r="B28" s="140" t="s">
        <v>120</v>
      </c>
      <c r="C28" s="141"/>
      <c r="D28" s="141"/>
      <c r="E28" s="141"/>
      <c r="F28" s="141"/>
      <c r="G28" s="160">
        <f>SUM(G24:G27)</f>
        <v>0</v>
      </c>
      <c r="H28" s="160">
        <f>IF(G28&lt;&gt;0,I28/G28,0)</f>
        <v>0</v>
      </c>
      <c r="I28" s="141">
        <f>SUM(I24:I27)</f>
        <v>0</v>
      </c>
      <c r="J28" s="142">
        <f>SUM(I24:I27)</f>
        <v>0</v>
      </c>
      <c r="K28" s="193">
        <v>0.08</v>
      </c>
      <c r="L28" s="143">
        <f>J28/(1-K28)</f>
        <v>0</v>
      </c>
      <c r="M28" s="130"/>
    </row>
    <row r="29" spans="1:13" ht="5.25" customHeight="1" thickBot="1">
      <c r="A29" s="129"/>
      <c r="B29" s="17"/>
      <c r="C29" s="56"/>
      <c r="D29" s="56"/>
      <c r="E29" s="148"/>
      <c r="F29" s="56"/>
      <c r="G29" s="149"/>
      <c r="H29" s="152"/>
      <c r="I29" s="58"/>
      <c r="J29" s="56"/>
      <c r="K29" s="150"/>
      <c r="L29" s="153"/>
      <c r="M29" s="129"/>
    </row>
    <row r="30" spans="1:13" ht="24.75" customHeight="1">
      <c r="A30" s="129"/>
      <c r="B30" s="24" t="s">
        <v>83</v>
      </c>
      <c r="C30" s="210" t="s">
        <v>77</v>
      </c>
      <c r="D30" s="210" t="s">
        <v>26</v>
      </c>
      <c r="E30" s="211" t="s">
        <v>121</v>
      </c>
      <c r="F30" s="210" t="s">
        <v>25</v>
      </c>
      <c r="G30" s="31" t="s">
        <v>78</v>
      </c>
      <c r="H30" s="217" t="s">
        <v>106</v>
      </c>
      <c r="I30" s="210" t="s">
        <v>76</v>
      </c>
      <c r="J30" s="211" t="s">
        <v>93</v>
      </c>
      <c r="K30" s="34" t="s">
        <v>102</v>
      </c>
      <c r="L30" s="35" t="s">
        <v>81</v>
      </c>
      <c r="M30" s="129"/>
    </row>
    <row r="31" spans="1:13" ht="12" customHeight="1">
      <c r="A31" s="129"/>
      <c r="B31" s="73"/>
      <c r="C31" s="226"/>
      <c r="D31" s="189"/>
      <c r="E31" s="96">
        <f aca="true" t="shared" si="0" ref="E31:E44">C31*D31</f>
        <v>0</v>
      </c>
      <c r="F31" s="189"/>
      <c r="G31" s="101">
        <f aca="true" t="shared" si="1" ref="G31:G44">E31/60*F31</f>
        <v>0</v>
      </c>
      <c r="H31" s="189">
        <v>1</v>
      </c>
      <c r="I31" s="89">
        <f aca="true" t="shared" si="2" ref="I31:I44">(G31*H31)</f>
        <v>0</v>
      </c>
      <c r="J31" s="89"/>
      <c r="K31" s="97"/>
      <c r="L31" s="98"/>
      <c r="M31" s="129"/>
    </row>
    <row r="32" spans="1:13" ht="12" customHeight="1">
      <c r="A32" s="129"/>
      <c r="B32" s="73"/>
      <c r="C32" s="226"/>
      <c r="D32" s="189"/>
      <c r="E32" s="96">
        <f t="shared" si="0"/>
        <v>0</v>
      </c>
      <c r="F32" s="189"/>
      <c r="G32" s="101">
        <f>E32/60*F32</f>
        <v>0</v>
      </c>
      <c r="H32" s="189">
        <v>1</v>
      </c>
      <c r="I32" s="89">
        <f t="shared" si="2"/>
        <v>0</v>
      </c>
      <c r="J32" s="89"/>
      <c r="K32" s="97"/>
      <c r="L32" s="98"/>
      <c r="M32" s="129"/>
    </row>
    <row r="33" spans="1:13" ht="12" customHeight="1">
      <c r="A33" s="129"/>
      <c r="B33" s="73"/>
      <c r="C33" s="226"/>
      <c r="D33" s="189"/>
      <c r="E33" s="96">
        <f t="shared" si="0"/>
        <v>0</v>
      </c>
      <c r="F33" s="189"/>
      <c r="G33" s="101">
        <f t="shared" si="1"/>
        <v>0</v>
      </c>
      <c r="H33" s="189">
        <v>1</v>
      </c>
      <c r="I33" s="89">
        <f t="shared" si="2"/>
        <v>0</v>
      </c>
      <c r="J33" s="89"/>
      <c r="K33" s="97"/>
      <c r="L33" s="98"/>
      <c r="M33" s="129"/>
    </row>
    <row r="34" spans="1:13" ht="12" customHeight="1">
      <c r="A34" s="129"/>
      <c r="B34" s="73"/>
      <c r="C34" s="226"/>
      <c r="D34" s="189"/>
      <c r="E34" s="96">
        <f t="shared" si="0"/>
        <v>0</v>
      </c>
      <c r="F34" s="189"/>
      <c r="G34" s="101">
        <f t="shared" si="1"/>
        <v>0</v>
      </c>
      <c r="H34" s="189">
        <v>1</v>
      </c>
      <c r="I34" s="89">
        <f t="shared" si="2"/>
        <v>0</v>
      </c>
      <c r="J34" s="89"/>
      <c r="K34" s="97"/>
      <c r="L34" s="98"/>
      <c r="M34" s="129"/>
    </row>
    <row r="35" spans="1:13" ht="12" customHeight="1">
      <c r="A35" s="129"/>
      <c r="B35" s="75"/>
      <c r="C35" s="226"/>
      <c r="D35" s="189"/>
      <c r="E35" s="96">
        <f t="shared" si="0"/>
        <v>0</v>
      </c>
      <c r="F35" s="189"/>
      <c r="G35" s="101">
        <f t="shared" si="1"/>
        <v>0</v>
      </c>
      <c r="H35" s="189">
        <v>1</v>
      </c>
      <c r="I35" s="89">
        <f t="shared" si="2"/>
        <v>0</v>
      </c>
      <c r="J35" s="89"/>
      <c r="K35" s="97"/>
      <c r="L35" s="98"/>
      <c r="M35" s="129"/>
    </row>
    <row r="36" spans="1:13" ht="12" customHeight="1">
      <c r="A36" s="129"/>
      <c r="B36" s="73"/>
      <c r="C36" s="226"/>
      <c r="D36" s="189"/>
      <c r="E36" s="96">
        <f t="shared" si="0"/>
        <v>0</v>
      </c>
      <c r="F36" s="189"/>
      <c r="G36" s="101">
        <f t="shared" si="1"/>
        <v>0</v>
      </c>
      <c r="H36" s="189">
        <v>1</v>
      </c>
      <c r="I36" s="89">
        <f t="shared" si="2"/>
        <v>0</v>
      </c>
      <c r="J36" s="89"/>
      <c r="K36" s="97"/>
      <c r="L36" s="98"/>
      <c r="M36" s="129"/>
    </row>
    <row r="37" spans="1:13" ht="12" customHeight="1">
      <c r="A37" s="129"/>
      <c r="B37" s="73"/>
      <c r="C37" s="226"/>
      <c r="D37" s="189"/>
      <c r="E37" s="96">
        <f t="shared" si="0"/>
        <v>0</v>
      </c>
      <c r="F37" s="189"/>
      <c r="G37" s="101">
        <f t="shared" si="1"/>
        <v>0</v>
      </c>
      <c r="H37" s="189">
        <v>1</v>
      </c>
      <c r="I37" s="89">
        <f t="shared" si="2"/>
        <v>0</v>
      </c>
      <c r="J37" s="89"/>
      <c r="K37" s="97"/>
      <c r="L37" s="98"/>
      <c r="M37" s="129"/>
    </row>
    <row r="38" spans="1:13" ht="12" customHeight="1">
      <c r="A38" s="129"/>
      <c r="B38" s="73"/>
      <c r="C38" s="226"/>
      <c r="D38" s="189"/>
      <c r="E38" s="96">
        <f t="shared" si="0"/>
        <v>0</v>
      </c>
      <c r="F38" s="189"/>
      <c r="G38" s="101">
        <f t="shared" si="1"/>
        <v>0</v>
      </c>
      <c r="H38" s="189">
        <v>1</v>
      </c>
      <c r="I38" s="89">
        <f t="shared" si="2"/>
        <v>0</v>
      </c>
      <c r="J38" s="89"/>
      <c r="K38" s="97"/>
      <c r="L38" s="98"/>
      <c r="M38" s="129"/>
    </row>
    <row r="39" spans="1:13" ht="12" customHeight="1">
      <c r="A39" s="129"/>
      <c r="B39" s="73"/>
      <c r="C39" s="226"/>
      <c r="D39" s="189"/>
      <c r="E39" s="96">
        <f t="shared" si="0"/>
        <v>0</v>
      </c>
      <c r="F39" s="189"/>
      <c r="G39" s="101">
        <f t="shared" si="1"/>
        <v>0</v>
      </c>
      <c r="H39" s="189">
        <v>1</v>
      </c>
      <c r="I39" s="89">
        <f t="shared" si="2"/>
        <v>0</v>
      </c>
      <c r="J39" s="89"/>
      <c r="K39" s="97"/>
      <c r="L39" s="98"/>
      <c r="M39" s="129"/>
    </row>
    <row r="40" spans="1:13" ht="12" customHeight="1">
      <c r="A40" s="129"/>
      <c r="B40" s="73"/>
      <c r="C40" s="226"/>
      <c r="D40" s="189"/>
      <c r="E40" s="96">
        <f t="shared" si="0"/>
        <v>0</v>
      </c>
      <c r="F40" s="189"/>
      <c r="G40" s="101">
        <f t="shared" si="1"/>
        <v>0</v>
      </c>
      <c r="H40" s="189">
        <v>1</v>
      </c>
      <c r="I40" s="89">
        <f t="shared" si="2"/>
        <v>0</v>
      </c>
      <c r="J40" s="89"/>
      <c r="K40" s="97"/>
      <c r="L40" s="98"/>
      <c r="M40" s="129"/>
    </row>
    <row r="41" spans="1:13" ht="12" customHeight="1">
      <c r="A41" s="129"/>
      <c r="B41" s="73"/>
      <c r="C41" s="226"/>
      <c r="D41" s="189"/>
      <c r="E41" s="96">
        <f t="shared" si="0"/>
        <v>0</v>
      </c>
      <c r="F41" s="189"/>
      <c r="G41" s="101">
        <f t="shared" si="1"/>
        <v>0</v>
      </c>
      <c r="H41" s="189">
        <v>1</v>
      </c>
      <c r="I41" s="89">
        <f t="shared" si="2"/>
        <v>0</v>
      </c>
      <c r="J41" s="89"/>
      <c r="K41" s="97"/>
      <c r="L41" s="98"/>
      <c r="M41" s="129"/>
    </row>
    <row r="42" spans="1:13" ht="12" customHeight="1">
      <c r="A42" s="129"/>
      <c r="B42" s="73"/>
      <c r="C42" s="226"/>
      <c r="D42" s="189"/>
      <c r="E42" s="96">
        <f t="shared" si="0"/>
        <v>0</v>
      </c>
      <c r="F42" s="189"/>
      <c r="G42" s="101">
        <f t="shared" si="1"/>
        <v>0</v>
      </c>
      <c r="H42" s="189">
        <v>1</v>
      </c>
      <c r="I42" s="89">
        <f t="shared" si="2"/>
        <v>0</v>
      </c>
      <c r="J42" s="89"/>
      <c r="K42" s="91" t="s">
        <v>107</v>
      </c>
      <c r="L42" s="92">
        <f>(J45-G45)*$K$7</f>
        <v>0</v>
      </c>
      <c r="M42" s="129"/>
    </row>
    <row r="43" spans="1:13" ht="12" customHeight="1" thickBot="1">
      <c r="A43" s="129"/>
      <c r="B43" s="73"/>
      <c r="C43" s="226"/>
      <c r="D43" s="189"/>
      <c r="E43" s="96">
        <f t="shared" si="0"/>
        <v>0</v>
      </c>
      <c r="F43" s="189"/>
      <c r="G43" s="101">
        <f t="shared" si="1"/>
        <v>0</v>
      </c>
      <c r="H43" s="189">
        <v>1</v>
      </c>
      <c r="I43" s="89">
        <f t="shared" si="2"/>
        <v>0</v>
      </c>
      <c r="J43" s="89"/>
      <c r="K43" s="91" t="s">
        <v>118</v>
      </c>
      <c r="L43" s="92">
        <f>(L45-J45)*$K$7</f>
        <v>0</v>
      </c>
      <c r="M43" s="129"/>
    </row>
    <row r="44" spans="1:13" ht="12" customHeight="1">
      <c r="A44" s="129"/>
      <c r="B44" s="73"/>
      <c r="C44" s="226"/>
      <c r="D44" s="189"/>
      <c r="E44" s="96">
        <f t="shared" si="0"/>
        <v>0</v>
      </c>
      <c r="F44" s="189"/>
      <c r="G44" s="101">
        <f t="shared" si="1"/>
        <v>0</v>
      </c>
      <c r="H44" s="189">
        <v>1</v>
      </c>
      <c r="I44" s="89">
        <f t="shared" si="2"/>
        <v>0</v>
      </c>
      <c r="J44" s="90"/>
      <c r="K44" s="93" t="s">
        <v>117</v>
      </c>
      <c r="L44" s="99">
        <f>IF(L12&lt;&gt;0,L45/L12,"?")</f>
        <v>0</v>
      </c>
      <c r="M44" s="129"/>
    </row>
    <row r="45" spans="1:13" ht="13.5" customHeight="1" thickBot="1">
      <c r="A45" s="130"/>
      <c r="B45" s="144" t="s">
        <v>134</v>
      </c>
      <c r="C45" s="141"/>
      <c r="D45" s="141"/>
      <c r="E45" s="159">
        <f>SUM(E31:E44)</f>
        <v>0</v>
      </c>
      <c r="F45" s="160">
        <f>IF(E45&lt;&gt;0,(G45/E45)*60,0)</f>
        <v>0</v>
      </c>
      <c r="G45" s="141">
        <f>SUM(G31:G44)</f>
        <v>0</v>
      </c>
      <c r="H45" s="160">
        <f>IF(G45&lt;&gt;0,I45/G45,0)</f>
        <v>0</v>
      </c>
      <c r="I45" s="141">
        <f>SUM(I31:I44)</f>
        <v>0</v>
      </c>
      <c r="J45" s="142">
        <f>SUM(I31:I44)</f>
        <v>0</v>
      </c>
      <c r="K45" s="193">
        <v>0.5</v>
      </c>
      <c r="L45" s="143">
        <f>J45/(1-K45)</f>
        <v>0</v>
      </c>
      <c r="M45" s="130"/>
    </row>
    <row r="46" spans="1:13" ht="5.25" customHeight="1" thickBot="1">
      <c r="A46" s="129"/>
      <c r="B46" s="154"/>
      <c r="C46" s="56"/>
      <c r="D46" s="155"/>
      <c r="E46" s="56"/>
      <c r="F46" s="156"/>
      <c r="G46" s="156"/>
      <c r="H46" s="58"/>
      <c r="I46" s="149"/>
      <c r="J46" s="56"/>
      <c r="K46" s="157"/>
      <c r="L46" s="153"/>
      <c r="M46" s="129"/>
    </row>
    <row r="47" spans="1:14" ht="23.25" customHeight="1" hidden="1">
      <c r="A47" s="131" t="s">
        <v>48</v>
      </c>
      <c r="B47" s="20" t="s">
        <v>38</v>
      </c>
      <c r="C47" s="32" t="s">
        <v>27</v>
      </c>
      <c r="D47" s="46" t="s">
        <v>43</v>
      </c>
      <c r="E47" s="46" t="s">
        <v>44</v>
      </c>
      <c r="F47" s="39" t="s">
        <v>24</v>
      </c>
      <c r="G47" s="31" t="s">
        <v>36</v>
      </c>
      <c r="H47" s="32" t="s">
        <v>53</v>
      </c>
      <c r="I47" s="39" t="s">
        <v>28</v>
      </c>
      <c r="J47" s="32" t="s">
        <v>52</v>
      </c>
      <c r="K47" s="40" t="s">
        <v>29</v>
      </c>
      <c r="L47" s="41" t="s">
        <v>51</v>
      </c>
      <c r="M47" s="131" t="s">
        <v>48</v>
      </c>
      <c r="N47" s="87"/>
    </row>
    <row r="48" spans="1:14" ht="10.5" customHeight="1" hidden="1" thickBot="1">
      <c r="A48" s="131"/>
      <c r="B48" s="73"/>
      <c r="C48" s="45"/>
      <c r="D48" s="47">
        <f>$I$7/$L$7</f>
        <v>1</v>
      </c>
      <c r="E48" s="47">
        <f>C48*D48</f>
        <v>0</v>
      </c>
      <c r="F48" s="36">
        <f>E48/$I$7</f>
        <v>0</v>
      </c>
      <c r="G48" s="36">
        <f>F48</f>
        <v>0</v>
      </c>
      <c r="H48" s="29">
        <v>1</v>
      </c>
      <c r="I48" s="25">
        <f>(G48*H48)</f>
        <v>0</v>
      </c>
      <c r="J48" s="25"/>
      <c r="K48" s="37"/>
      <c r="L48" s="60"/>
      <c r="M48" s="131"/>
      <c r="N48" s="87"/>
    </row>
    <row r="49" spans="1:14" ht="10.5" customHeight="1" hidden="1" thickBot="1">
      <c r="A49" s="131"/>
      <c r="B49" s="73"/>
      <c r="C49" s="45"/>
      <c r="D49" s="47">
        <f>$I$7/$L$7</f>
        <v>1</v>
      </c>
      <c r="E49" s="47">
        <f>C49*D49</f>
        <v>0</v>
      </c>
      <c r="F49" s="36">
        <f>E49/$I$7</f>
        <v>0</v>
      </c>
      <c r="G49" s="36">
        <f>F49</f>
        <v>0</v>
      </c>
      <c r="H49" s="29">
        <v>1</v>
      </c>
      <c r="I49" s="25">
        <f>(G49*H49)</f>
        <v>0</v>
      </c>
      <c r="J49" s="25"/>
      <c r="K49" s="37"/>
      <c r="L49" s="60"/>
      <c r="M49" s="131"/>
      <c r="N49" s="87"/>
    </row>
    <row r="50" spans="1:14" ht="10.5" customHeight="1" hidden="1">
      <c r="A50" s="131"/>
      <c r="B50" s="73" t="s">
        <v>41</v>
      </c>
      <c r="C50" s="45">
        <v>0</v>
      </c>
      <c r="D50" s="47">
        <f>$I$7/$L$7</f>
        <v>1</v>
      </c>
      <c r="E50" s="49">
        <f>C50*D50</f>
        <v>0</v>
      </c>
      <c r="F50" s="36">
        <f>E50/$I$7</f>
        <v>0</v>
      </c>
      <c r="G50" s="36">
        <f>F50</f>
        <v>0</v>
      </c>
      <c r="H50" s="29">
        <v>1</v>
      </c>
      <c r="I50" s="25">
        <f>(G50*H50)</f>
        <v>0</v>
      </c>
      <c r="J50" s="25"/>
      <c r="K50" s="37" t="s">
        <v>37</v>
      </c>
      <c r="L50" s="60">
        <f>(J53-G53)*$K$7</f>
        <v>0</v>
      </c>
      <c r="M50" s="131"/>
      <c r="N50" s="87"/>
    </row>
    <row r="51" spans="1:14" ht="10.5" customHeight="1" hidden="1">
      <c r="A51" s="131"/>
      <c r="B51" s="73" t="s">
        <v>42</v>
      </c>
      <c r="C51" s="45">
        <v>0</v>
      </c>
      <c r="D51" s="47">
        <f>$I$7/$L$7</f>
        <v>1</v>
      </c>
      <c r="E51" s="47">
        <f>C51*D51</f>
        <v>0</v>
      </c>
      <c r="F51" s="36">
        <f>E51/$I$7</f>
        <v>0</v>
      </c>
      <c r="G51" s="36">
        <f>F51</f>
        <v>0</v>
      </c>
      <c r="H51" s="29">
        <v>1</v>
      </c>
      <c r="I51" s="25">
        <f>(G51*H51)</f>
        <v>0</v>
      </c>
      <c r="J51" s="25"/>
      <c r="K51" s="37" t="s">
        <v>46</v>
      </c>
      <c r="L51" s="60">
        <f>(L53-J53)*$K$7</f>
        <v>0</v>
      </c>
      <c r="M51" s="131"/>
      <c r="N51" s="87"/>
    </row>
    <row r="52" spans="1:14" ht="10.5" customHeight="1" hidden="1">
      <c r="A52" s="131"/>
      <c r="B52" s="73" t="s">
        <v>45</v>
      </c>
      <c r="C52" s="45">
        <v>0</v>
      </c>
      <c r="D52" s="47">
        <f>$I$7/$L$7</f>
        <v>1</v>
      </c>
      <c r="E52" s="47">
        <f>C52*D52</f>
        <v>0</v>
      </c>
      <c r="F52" s="36">
        <f>E52/$I$7</f>
        <v>0</v>
      </c>
      <c r="G52" s="36">
        <f>F52</f>
        <v>0</v>
      </c>
      <c r="H52" s="29">
        <v>1</v>
      </c>
      <c r="I52" s="25">
        <f>(G52*H52)</f>
        <v>0</v>
      </c>
      <c r="J52" s="42"/>
      <c r="K52" s="43" t="s">
        <v>29</v>
      </c>
      <c r="L52" s="61">
        <f>IF(L12&lt;&gt;0,L53/L12,"?")</f>
        <v>0</v>
      </c>
      <c r="M52" s="131"/>
      <c r="N52" s="87"/>
    </row>
    <row r="53" spans="1:14" ht="10.5" customHeight="1" hidden="1">
      <c r="A53" s="132" t="s">
        <v>49</v>
      </c>
      <c r="B53" s="76" t="s">
        <v>47</v>
      </c>
      <c r="C53" s="84"/>
      <c r="D53" s="84"/>
      <c r="E53" s="86"/>
      <c r="F53" s="84"/>
      <c r="G53" s="84">
        <f>SUM(G48:G52)</f>
        <v>0</v>
      </c>
      <c r="H53" s="84" t="str">
        <f>IF(G53&lt;&gt;0,I53/G53,"?")</f>
        <v>?</v>
      </c>
      <c r="I53" s="84">
        <f>SUM(I48:I52)</f>
        <v>0</v>
      </c>
      <c r="J53" s="85">
        <f>SUM(I50:I52)</f>
        <v>0</v>
      </c>
      <c r="K53" s="44">
        <v>0.25</v>
      </c>
      <c r="L53" s="62">
        <f>J53/(1-K53)</f>
        <v>0</v>
      </c>
      <c r="M53" s="132" t="s">
        <v>49</v>
      </c>
      <c r="N53" s="87"/>
    </row>
    <row r="54" spans="1:14" ht="5.25" customHeight="1" hidden="1" thickBot="1">
      <c r="A54" s="131"/>
      <c r="B54" s="63"/>
      <c r="C54" s="64"/>
      <c r="D54" s="65"/>
      <c r="E54" s="66"/>
      <c r="F54" s="67"/>
      <c r="G54" s="67"/>
      <c r="H54" s="68"/>
      <c r="I54" s="16"/>
      <c r="J54" s="64"/>
      <c r="K54" s="69"/>
      <c r="L54" s="70"/>
      <c r="M54" s="131"/>
      <c r="N54" s="87"/>
    </row>
    <row r="55" spans="1:13" ht="24.75" customHeight="1">
      <c r="A55" s="129"/>
      <c r="B55" s="20" t="s">
        <v>129</v>
      </c>
      <c r="C55" s="32" t="s">
        <v>27</v>
      </c>
      <c r="D55" s="5"/>
      <c r="E55" s="214" t="s">
        <v>105</v>
      </c>
      <c r="F55" s="209" t="s">
        <v>76</v>
      </c>
      <c r="G55" s="212" t="s">
        <v>78</v>
      </c>
      <c r="H55" s="217" t="s">
        <v>106</v>
      </c>
      <c r="I55" s="209" t="s">
        <v>104</v>
      </c>
      <c r="J55" s="210" t="s">
        <v>93</v>
      </c>
      <c r="K55" s="34" t="s">
        <v>102</v>
      </c>
      <c r="L55" s="41" t="s">
        <v>81</v>
      </c>
      <c r="M55" s="129"/>
    </row>
    <row r="56" spans="1:13" ht="12" customHeight="1">
      <c r="A56" s="129"/>
      <c r="B56" s="73"/>
      <c r="C56" s="194"/>
      <c r="D56" s="89"/>
      <c r="E56" s="100">
        <f>$I$7</f>
        <v>200</v>
      </c>
      <c r="F56" s="101">
        <f>C56/E56</f>
        <v>0</v>
      </c>
      <c r="G56" s="101">
        <f>F56</f>
        <v>0</v>
      </c>
      <c r="H56" s="189">
        <v>1</v>
      </c>
      <c r="I56" s="89">
        <f>(G56*H56)</f>
        <v>0</v>
      </c>
      <c r="J56" s="89"/>
      <c r="K56" s="91"/>
      <c r="L56" s="92"/>
      <c r="M56" s="129"/>
    </row>
    <row r="57" spans="1:13" ht="12" customHeight="1">
      <c r="A57" s="129"/>
      <c r="B57" s="73" t="s">
        <v>126</v>
      </c>
      <c r="C57" s="194"/>
      <c r="D57" s="89"/>
      <c r="E57" s="100">
        <f>$I$7</f>
        <v>200</v>
      </c>
      <c r="F57" s="101">
        <f>C57/E57</f>
        <v>0</v>
      </c>
      <c r="G57" s="101">
        <f>F57</f>
        <v>0</v>
      </c>
      <c r="H57" s="189">
        <v>1</v>
      </c>
      <c r="I57" s="89">
        <f>(G57*H57)</f>
        <v>0</v>
      </c>
      <c r="J57" s="89"/>
      <c r="K57" s="91"/>
      <c r="L57" s="92"/>
      <c r="M57" s="129"/>
    </row>
    <row r="58" spans="1:13" ht="12" customHeight="1">
      <c r="A58" s="129"/>
      <c r="B58" s="73" t="s">
        <v>122</v>
      </c>
      <c r="C58" s="194"/>
      <c r="D58" s="89"/>
      <c r="E58" s="100">
        <f>$I$7</f>
        <v>200</v>
      </c>
      <c r="F58" s="101">
        <f>C58/E58</f>
        <v>0</v>
      </c>
      <c r="G58" s="101">
        <f>F58</f>
        <v>0</v>
      </c>
      <c r="H58" s="189">
        <v>1</v>
      </c>
      <c r="I58" s="89">
        <f>(G58*H58)</f>
        <v>0</v>
      </c>
      <c r="J58" s="89"/>
      <c r="K58" s="91" t="s">
        <v>107</v>
      </c>
      <c r="L58" s="92">
        <f>(J61-G61)*$K$7</f>
        <v>0</v>
      </c>
      <c r="M58" s="129"/>
    </row>
    <row r="59" spans="1:13" ht="12" customHeight="1" thickBot="1">
      <c r="A59" s="129"/>
      <c r="B59" s="73" t="s">
        <v>119</v>
      </c>
      <c r="C59" s="194"/>
      <c r="D59" s="89"/>
      <c r="E59" s="100">
        <f>$I$7</f>
        <v>200</v>
      </c>
      <c r="F59" s="101">
        <f>C59/E59</f>
        <v>0</v>
      </c>
      <c r="G59" s="101">
        <f>F59</f>
        <v>0</v>
      </c>
      <c r="H59" s="189">
        <v>1</v>
      </c>
      <c r="I59" s="89">
        <f>(G59*H59)</f>
        <v>0</v>
      </c>
      <c r="J59" s="89"/>
      <c r="K59" s="91" t="s">
        <v>118</v>
      </c>
      <c r="L59" s="92">
        <f>(L61-J61)*$K$7</f>
        <v>0</v>
      </c>
      <c r="M59" s="129"/>
    </row>
    <row r="60" spans="1:13" ht="12" customHeight="1">
      <c r="A60" s="129"/>
      <c r="B60" s="73" t="s">
        <v>128</v>
      </c>
      <c r="C60" s="194"/>
      <c r="D60" s="89"/>
      <c r="E60" s="100">
        <f>$I$7</f>
        <v>200</v>
      </c>
      <c r="F60" s="101">
        <f>C60/E60</f>
        <v>0</v>
      </c>
      <c r="G60" s="101">
        <f>F60</f>
        <v>0</v>
      </c>
      <c r="H60" s="189">
        <v>1</v>
      </c>
      <c r="I60" s="89">
        <f>(G60*H60)</f>
        <v>0</v>
      </c>
      <c r="J60" s="90"/>
      <c r="K60" s="93" t="s">
        <v>117</v>
      </c>
      <c r="L60" s="99">
        <f>IF(L12&lt;&gt;0,L61/L12,"?")</f>
        <v>0</v>
      </c>
      <c r="M60" s="129"/>
    </row>
    <row r="61" spans="1:13" ht="13.5" customHeight="1" thickBot="1">
      <c r="A61" s="130"/>
      <c r="B61" s="114" t="s">
        <v>132</v>
      </c>
      <c r="C61" s="115"/>
      <c r="D61" s="115"/>
      <c r="E61" s="116"/>
      <c r="F61" s="115"/>
      <c r="G61" s="117">
        <f>SUM(G56:G60)</f>
        <v>0</v>
      </c>
      <c r="H61" s="117">
        <f>IF(G61&lt;&gt;0,I61/G61,0)</f>
        <v>0</v>
      </c>
      <c r="I61" s="115">
        <f>SUM(I56:I60)</f>
        <v>0</v>
      </c>
      <c r="J61" s="118">
        <f>SUM(I56:I60)</f>
        <v>0</v>
      </c>
      <c r="K61" s="192">
        <v>0.25</v>
      </c>
      <c r="L61" s="119">
        <f>J61/(1-K61)</f>
        <v>0</v>
      </c>
      <c r="M61" s="130"/>
    </row>
    <row r="62" spans="1:13" ht="5.25" customHeight="1" thickBot="1">
      <c r="A62" s="138"/>
      <c r="B62" s="133"/>
      <c r="C62" s="134"/>
      <c r="D62" s="134"/>
      <c r="E62" s="134"/>
      <c r="F62" s="134"/>
      <c r="G62" s="134"/>
      <c r="H62" s="134"/>
      <c r="I62" s="134"/>
      <c r="J62" s="135"/>
      <c r="K62" s="134"/>
      <c r="L62" s="136"/>
      <c r="M62" s="138"/>
    </row>
    <row r="63" spans="1:13" ht="12.75">
      <c r="A63" s="7"/>
      <c r="B63" s="13"/>
      <c r="C63" s="3"/>
      <c r="D63" s="3"/>
      <c r="E63" s="3"/>
      <c r="F63" s="50"/>
      <c r="G63" s="3"/>
      <c r="H63" s="3"/>
      <c r="I63" s="6"/>
      <c r="J63" s="3"/>
      <c r="M63" s="7"/>
    </row>
    <row r="64" spans="1:13" ht="12.75">
      <c r="A64" s="8"/>
      <c r="B64" s="26"/>
      <c r="C64" s="26"/>
      <c r="D64" s="26"/>
      <c r="E64" s="26"/>
      <c r="F64" s="26"/>
      <c r="G64" s="26"/>
      <c r="H64" s="4"/>
      <c r="I64" s="4"/>
      <c r="J64" s="6"/>
      <c r="K64" s="4"/>
      <c r="L64" s="53"/>
      <c r="M64" s="8"/>
    </row>
    <row r="65" spans="1:13" ht="12.75">
      <c r="A65" s="8"/>
      <c r="B65" s="7"/>
      <c r="C65" s="7"/>
      <c r="D65" s="7"/>
      <c r="E65" s="7"/>
      <c r="F65" s="7"/>
      <c r="G65" s="7"/>
      <c r="H65" s="4"/>
      <c r="I65" s="4"/>
      <c r="J65" s="6"/>
      <c r="K65" s="4"/>
      <c r="L65" s="54"/>
      <c r="M65" s="8"/>
    </row>
    <row r="66" spans="1:13" ht="13.5">
      <c r="A66" s="8"/>
      <c r="B66" s="7"/>
      <c r="C66" s="7"/>
      <c r="D66" s="7"/>
      <c r="E66" s="7"/>
      <c r="F66" s="7"/>
      <c r="G66" s="7"/>
      <c r="H66" s="4"/>
      <c r="I66" s="4"/>
      <c r="J66" s="6"/>
      <c r="K66" s="4"/>
      <c r="L66" s="53"/>
      <c r="M66" s="8"/>
    </row>
    <row r="67" spans="1:13" ht="13.5">
      <c r="A67" s="8"/>
      <c r="B67" s="7"/>
      <c r="C67" s="7"/>
      <c r="D67" s="7"/>
      <c r="E67" s="7"/>
      <c r="F67" s="7"/>
      <c r="G67" s="7"/>
      <c r="H67" s="8"/>
      <c r="I67" s="8"/>
      <c r="J67" s="8"/>
      <c r="K67" s="8"/>
      <c r="L67" s="8"/>
      <c r="M67" s="8"/>
    </row>
    <row r="68" spans="1:13" ht="13.5">
      <c r="A68" s="8"/>
      <c r="B68" s="7"/>
      <c r="C68" s="7"/>
      <c r="D68" s="7"/>
      <c r="E68" s="7"/>
      <c r="F68" s="7"/>
      <c r="G68" s="7"/>
      <c r="H68" s="8"/>
      <c r="I68" s="8"/>
      <c r="J68" s="8"/>
      <c r="K68" s="8"/>
      <c r="L68" s="8"/>
      <c r="M68" s="8"/>
    </row>
    <row r="69" spans="1:13" ht="13.5">
      <c r="A69" s="7"/>
      <c r="B69" s="8"/>
      <c r="C69" s="7"/>
      <c r="D69" s="7"/>
      <c r="E69" s="7"/>
      <c r="F69" s="7"/>
      <c r="G69" s="7"/>
      <c r="H69" s="7"/>
      <c r="I69" s="7"/>
      <c r="J69" s="7"/>
      <c r="K69" s="8"/>
      <c r="L69" s="7"/>
      <c r="M69" s="7"/>
    </row>
    <row r="70" spans="1:13" ht="13.5">
      <c r="A70" s="7"/>
      <c r="B70" s="8"/>
      <c r="C70" s="9"/>
      <c r="D70" s="8"/>
      <c r="E70" s="7"/>
      <c r="F70" s="7"/>
      <c r="G70" s="7"/>
      <c r="H70" s="7"/>
      <c r="I70" s="7"/>
      <c r="J70" s="7"/>
      <c r="K70" s="8"/>
      <c r="L70" s="7"/>
      <c r="M70" s="7"/>
    </row>
    <row r="71" spans="1:13" ht="13.5">
      <c r="A71" s="7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</row>
    <row r="72" spans="1:13" ht="13.5">
      <c r="A72" s="7"/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  <c r="M72" s="7"/>
    </row>
    <row r="73" spans="1:13" ht="13.5">
      <c r="A73" s="7"/>
      <c r="B73" s="7"/>
      <c r="C73" s="7"/>
      <c r="D73" s="7"/>
      <c r="E73" s="7"/>
      <c r="F73" s="7"/>
      <c r="G73" s="7"/>
      <c r="H73" s="8"/>
      <c r="I73" s="8"/>
      <c r="J73" s="7"/>
      <c r="K73" s="7"/>
      <c r="L73" s="7"/>
      <c r="M73" s="7"/>
    </row>
    <row r="74" spans="1:13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3.5">
      <c r="A75" s="7"/>
      <c r="B75" s="1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3.5">
      <c r="A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3.5">
      <c r="A80" s="7"/>
      <c r="B80" s="7"/>
      <c r="C80" s="26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3.5">
      <c r="A84" s="7"/>
      <c r="B84" s="11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3.5">
      <c r="A85" s="7"/>
      <c r="B85" s="7"/>
      <c r="C85" s="12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3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3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3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3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3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3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3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3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3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3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3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3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3.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3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3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3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3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3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3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3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3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3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3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3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3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3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3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3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3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3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3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3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3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3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3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3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</sheetData>
  <sheetProtection/>
  <mergeCells count="16">
    <mergeCell ref="F2:H2"/>
    <mergeCell ref="I2:J2"/>
    <mergeCell ref="C5:E5"/>
    <mergeCell ref="F5:L5"/>
    <mergeCell ref="C4:E4"/>
    <mergeCell ref="F4:L4"/>
    <mergeCell ref="N18:P23"/>
    <mergeCell ref="G6:H7"/>
    <mergeCell ref="B2:B3"/>
    <mergeCell ref="C2:E2"/>
    <mergeCell ref="B6:B7"/>
    <mergeCell ref="G8:L9"/>
    <mergeCell ref="K2:L2"/>
    <mergeCell ref="C3:E3"/>
    <mergeCell ref="F3:L3"/>
    <mergeCell ref="B4:B5"/>
  </mergeCells>
  <printOptions/>
  <pageMargins left="0.75" right="0.75" top="1" bottom="1" header="0.4921259845" footer="0.4921259845"/>
  <pageSetup fitToHeight="1" fitToWidth="1" horizontalDpi="600" verticalDpi="600" orientation="portrait" paperSize="9" scale="8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0"/>
  <sheetViews>
    <sheetView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O12" sqref="O12"/>
    </sheetView>
  </sheetViews>
  <sheetFormatPr defaultColWidth="9.140625" defaultRowHeight="12.75"/>
  <cols>
    <col min="1" max="1" width="0.71875" style="1" customWidth="1"/>
    <col min="2" max="2" width="28.28125" style="1" customWidth="1"/>
    <col min="3" max="7" width="8.7109375" style="1" customWidth="1"/>
    <col min="8" max="8" width="9.7109375" style="1" customWidth="1"/>
    <col min="9" max="11" width="8.7109375" style="1" customWidth="1"/>
    <col min="12" max="12" width="9.28125" style="1" customWidth="1"/>
    <col min="13" max="13" width="0.71875" style="1" customWidth="1"/>
    <col min="76" max="16384" width="9.140625" style="1" customWidth="1"/>
  </cols>
  <sheetData>
    <row r="1" spans="1:13" ht="5.25" customHeight="1" thickBot="1">
      <c r="A1" s="138"/>
      <c r="B1" s="133"/>
      <c r="C1" s="134"/>
      <c r="D1" s="134"/>
      <c r="E1" s="134"/>
      <c r="F1" s="134"/>
      <c r="G1" s="134"/>
      <c r="H1" s="134"/>
      <c r="I1" s="134"/>
      <c r="J1" s="135"/>
      <c r="K1" s="134"/>
      <c r="L1" s="136"/>
      <c r="M1" s="138"/>
    </row>
    <row r="2" spans="1:14" ht="15" customHeight="1">
      <c r="A2" s="128"/>
      <c r="B2" s="284"/>
      <c r="C2" s="239" t="s">
        <v>114</v>
      </c>
      <c r="D2" s="240"/>
      <c r="E2" s="241"/>
      <c r="F2" s="294" t="str">
        <f>Product!F2</f>
        <v>Kari Kolehmainen</v>
      </c>
      <c r="G2" s="295"/>
      <c r="H2" s="245"/>
      <c r="I2" s="233" t="s">
        <v>73</v>
      </c>
      <c r="J2" s="234"/>
      <c r="K2" s="286" t="str">
        <f>Product!K2</f>
        <v>22.1 2014</v>
      </c>
      <c r="L2" s="287"/>
      <c r="M2" s="128"/>
      <c r="N2" t="s">
        <v>31</v>
      </c>
    </row>
    <row r="3" spans="1:14" ht="15" customHeight="1">
      <c r="A3" s="123"/>
      <c r="B3" s="285"/>
      <c r="C3" s="288" t="s">
        <v>69</v>
      </c>
      <c r="D3" s="289"/>
      <c r="E3" s="290"/>
      <c r="F3" s="291">
        <f>Product!F3</f>
        <v>0</v>
      </c>
      <c r="G3" s="292"/>
      <c r="H3" s="292"/>
      <c r="I3" s="292"/>
      <c r="J3" s="292"/>
      <c r="K3" s="292"/>
      <c r="L3" s="293"/>
      <c r="M3" s="123"/>
      <c r="N3" t="s">
        <v>30</v>
      </c>
    </row>
    <row r="4" spans="1:14" ht="15" customHeight="1">
      <c r="A4" s="129"/>
      <c r="B4" s="273" t="s">
        <v>67</v>
      </c>
      <c r="C4" s="288" t="s">
        <v>70</v>
      </c>
      <c r="D4" s="289"/>
      <c r="E4" s="290"/>
      <c r="F4" s="291" t="s">
        <v>162</v>
      </c>
      <c r="G4" s="292"/>
      <c r="H4" s="292"/>
      <c r="I4" s="292"/>
      <c r="J4" s="292"/>
      <c r="K4" s="292"/>
      <c r="L4" s="293"/>
      <c r="M4" s="129"/>
      <c r="N4" t="s">
        <v>59</v>
      </c>
    </row>
    <row r="5" spans="1:14" ht="15" customHeight="1" thickBot="1">
      <c r="A5" s="129"/>
      <c r="B5" s="273"/>
      <c r="C5" s="288"/>
      <c r="D5" s="289"/>
      <c r="E5" s="290"/>
      <c r="F5" s="296" t="s">
        <v>72</v>
      </c>
      <c r="G5" s="297"/>
      <c r="H5" s="297"/>
      <c r="I5" s="297"/>
      <c r="J5" s="297"/>
      <c r="K5" s="297"/>
      <c r="L5" s="298"/>
      <c r="M5" s="129"/>
      <c r="N5" s="187" t="s">
        <v>58</v>
      </c>
    </row>
    <row r="6" spans="1:14" ht="12.75" customHeight="1">
      <c r="A6" s="129"/>
      <c r="B6" s="273" t="s">
        <v>74</v>
      </c>
      <c r="C6" s="79" t="s">
        <v>71</v>
      </c>
      <c r="D6" s="77"/>
      <c r="E6" s="77"/>
      <c r="F6" s="197" t="s">
        <v>90</v>
      </c>
      <c r="G6" s="277"/>
      <c r="H6" s="278"/>
      <c r="I6" s="174" t="s">
        <v>98</v>
      </c>
      <c r="J6" s="113"/>
      <c r="K6" s="176" t="s">
        <v>99</v>
      </c>
      <c r="L6" s="176" t="s">
        <v>100</v>
      </c>
      <c r="M6" s="129"/>
      <c r="N6" t="s">
        <v>32</v>
      </c>
    </row>
    <row r="7" spans="1:14" ht="12.75" customHeight="1" thickBot="1">
      <c r="A7" s="129"/>
      <c r="B7" s="273"/>
      <c r="C7" s="80"/>
      <c r="D7" s="78"/>
      <c r="E7" s="78"/>
      <c r="F7" s="198" t="s">
        <v>50</v>
      </c>
      <c r="G7" s="279"/>
      <c r="H7" s="280"/>
      <c r="I7" s="185">
        <v>40</v>
      </c>
      <c r="J7" s="177" t="s">
        <v>56</v>
      </c>
      <c r="K7" s="196">
        <v>20</v>
      </c>
      <c r="L7" s="195">
        <v>20</v>
      </c>
      <c r="M7" s="129"/>
      <c r="N7" t="s">
        <v>33</v>
      </c>
    </row>
    <row r="8" spans="1:13" ht="19.5" customHeight="1" thickBot="1">
      <c r="A8" s="129"/>
      <c r="B8" s="27"/>
      <c r="C8" s="14"/>
      <c r="D8" s="55"/>
      <c r="E8" s="82"/>
      <c r="F8" s="48"/>
      <c r="G8" s="269" t="s">
        <v>112</v>
      </c>
      <c r="H8" s="269"/>
      <c r="I8" s="269"/>
      <c r="J8" s="269"/>
      <c r="K8" s="269"/>
      <c r="L8" s="270"/>
      <c r="M8" s="129"/>
    </row>
    <row r="9" spans="1:13" ht="19.5" customHeight="1" thickBot="1">
      <c r="A9" s="129"/>
      <c r="B9" s="15"/>
      <c r="C9" s="63"/>
      <c r="D9" s="72"/>
      <c r="E9" s="215" t="s">
        <v>110</v>
      </c>
      <c r="F9" s="221">
        <v>2</v>
      </c>
      <c r="G9" s="271"/>
      <c r="H9" s="271"/>
      <c r="I9" s="271"/>
      <c r="J9" s="271"/>
      <c r="K9" s="271"/>
      <c r="L9" s="272"/>
      <c r="M9" s="129"/>
    </row>
    <row r="10" spans="1:13" ht="5.25" customHeight="1" thickBot="1">
      <c r="A10" s="129"/>
      <c r="B10" s="124"/>
      <c r="C10" s="125"/>
      <c r="D10" s="121"/>
      <c r="E10" s="125"/>
      <c r="F10" s="121"/>
      <c r="G10" s="121"/>
      <c r="H10" s="125"/>
      <c r="I10" s="121"/>
      <c r="J10" s="125"/>
      <c r="K10" s="126"/>
      <c r="L10" s="127"/>
      <c r="M10" s="129"/>
    </row>
    <row r="11" spans="1:13" ht="24.75" customHeight="1" thickBot="1">
      <c r="A11" s="129"/>
      <c r="B11" s="17" t="s">
        <v>85</v>
      </c>
      <c r="C11" s="18"/>
      <c r="D11" s="19"/>
      <c r="E11" s="213" t="s">
        <v>109</v>
      </c>
      <c r="F11" s="216" t="s">
        <v>89</v>
      </c>
      <c r="G11" s="21" t="s">
        <v>95</v>
      </c>
      <c r="H11" s="213" t="s">
        <v>107</v>
      </c>
      <c r="I11" s="216" t="s">
        <v>108</v>
      </c>
      <c r="J11" s="213" t="s">
        <v>93</v>
      </c>
      <c r="K11" s="22" t="s">
        <v>101</v>
      </c>
      <c r="L11" s="23" t="s">
        <v>81</v>
      </c>
      <c r="M11" s="129"/>
    </row>
    <row r="12" spans="1:13" ht="13.5" thickBot="1">
      <c r="A12" s="130"/>
      <c r="B12" s="14"/>
      <c r="C12" s="2"/>
      <c r="D12" s="3"/>
      <c r="E12" s="102">
        <f>IF($E$45&lt;&gt;0,(60/$E$45*(L12-J12)),0)</f>
        <v>29.16773455377575</v>
      </c>
      <c r="F12" s="103">
        <f>(E45/60)*$I$7</f>
        <v>4.6000000000000005</v>
      </c>
      <c r="G12" s="111">
        <f>G21+G28+G45+G53+G61</f>
        <v>5.65</v>
      </c>
      <c r="H12" s="104">
        <f>(J12-G12)*$K$7</f>
        <v>2.4299999999999855</v>
      </c>
      <c r="I12" s="104">
        <f>(L12-J12)*$K$7</f>
        <v>67.08578947368423</v>
      </c>
      <c r="J12" s="105">
        <f>SUM(J17:J61)</f>
        <v>5.7715</v>
      </c>
      <c r="K12" s="106">
        <f>IF(L12&lt;&gt;0,(L12-J12)/L12,0)</f>
        <v>0.3675615664109811</v>
      </c>
      <c r="L12" s="107">
        <f>L21+L28+L45+L53+L61</f>
        <v>9.125789473684211</v>
      </c>
      <c r="M12" s="130"/>
    </row>
    <row r="13" spans="1:13" ht="13.5" thickBot="1">
      <c r="A13" s="129"/>
      <c r="B13" s="13"/>
      <c r="C13" s="2"/>
      <c r="D13" s="3"/>
      <c r="E13" s="3"/>
      <c r="F13" s="3"/>
      <c r="G13" s="3"/>
      <c r="H13" s="3"/>
      <c r="I13" s="3"/>
      <c r="J13" s="3"/>
      <c r="K13" s="3"/>
      <c r="L13" s="108" t="s">
        <v>94</v>
      </c>
      <c r="M13" s="129"/>
    </row>
    <row r="14" spans="1:13" ht="13.5" thickBot="1">
      <c r="A14" s="129"/>
      <c r="B14" s="15"/>
      <c r="C14" s="71"/>
      <c r="D14" s="16"/>
      <c r="E14" s="102">
        <f>IF($E$45&lt;&gt;0,(60/$E$45*(L14-J12)),0)</f>
        <v>29.204347826086966</v>
      </c>
      <c r="F14" s="56"/>
      <c r="G14" s="112">
        <f>G12</f>
        <v>5.65</v>
      </c>
      <c r="H14" s="57"/>
      <c r="I14" s="104">
        <f>(L14-J12)*$K$7</f>
        <v>67.17000000000002</v>
      </c>
      <c r="J14" s="58"/>
      <c r="K14" s="106">
        <f>IF(L14&lt;&gt;0,(L14-J12)/L14,"?")</f>
        <v>0.36785323110624324</v>
      </c>
      <c r="L14" s="188">
        <v>9.13</v>
      </c>
      <c r="M14" s="129"/>
    </row>
    <row r="15" spans="1:13" ht="5.25" customHeight="1" thickBot="1">
      <c r="A15" s="129"/>
      <c r="B15" s="120"/>
      <c r="C15" s="121"/>
      <c r="D15" s="121"/>
      <c r="E15" s="121"/>
      <c r="F15" s="121"/>
      <c r="G15" s="121"/>
      <c r="H15" s="121"/>
      <c r="I15" s="121"/>
      <c r="J15" s="122"/>
      <c r="K15" s="121"/>
      <c r="L15" s="123"/>
      <c r="M15" s="129"/>
    </row>
    <row r="16" spans="1:13" ht="22.5" customHeight="1">
      <c r="A16" s="129"/>
      <c r="B16" s="24" t="s">
        <v>82</v>
      </c>
      <c r="C16" s="210" t="s">
        <v>63</v>
      </c>
      <c r="D16" s="210" t="s">
        <v>64</v>
      </c>
      <c r="E16" s="211" t="s">
        <v>86</v>
      </c>
      <c r="F16" s="210" t="s">
        <v>76</v>
      </c>
      <c r="G16" s="31" t="s">
        <v>78</v>
      </c>
      <c r="H16" s="217" t="s">
        <v>106</v>
      </c>
      <c r="I16" s="210" t="s">
        <v>87</v>
      </c>
      <c r="J16" s="211" t="s">
        <v>93</v>
      </c>
      <c r="K16" s="161"/>
      <c r="L16" s="163" t="s">
        <v>81</v>
      </c>
      <c r="M16" s="129"/>
    </row>
    <row r="17" spans="1:13" ht="12" customHeight="1" thickBot="1">
      <c r="A17" s="129"/>
      <c r="B17" s="73" t="s">
        <v>163</v>
      </c>
      <c r="C17" s="29">
        <v>2.7</v>
      </c>
      <c r="D17" s="29">
        <v>0.9</v>
      </c>
      <c r="E17" s="226">
        <v>1</v>
      </c>
      <c r="F17" s="189">
        <f>D17*C17</f>
        <v>2.43</v>
      </c>
      <c r="G17" s="101">
        <f>(E17*F17)</f>
        <v>2.43</v>
      </c>
      <c r="H17" s="189">
        <v>1.05</v>
      </c>
      <c r="I17" s="89">
        <f>(G17*H17)</f>
        <v>2.5515000000000003</v>
      </c>
      <c r="J17" s="89"/>
      <c r="K17" s="89"/>
      <c r="L17" s="98"/>
      <c r="M17" s="129"/>
    </row>
    <row r="18" spans="1:16" ht="12" customHeight="1">
      <c r="A18" s="129"/>
      <c r="B18" s="73"/>
      <c r="C18" s="29"/>
      <c r="D18" s="29"/>
      <c r="E18" s="226"/>
      <c r="F18" s="189"/>
      <c r="G18" s="101">
        <f>(E18*F18)</f>
        <v>0</v>
      </c>
      <c r="H18" s="189">
        <v>1.08</v>
      </c>
      <c r="I18" s="89">
        <f>(G18*H18)</f>
        <v>0</v>
      </c>
      <c r="J18" s="89"/>
      <c r="K18" s="91" t="s">
        <v>107</v>
      </c>
      <c r="L18" s="92">
        <f>(J21-G21)*$K$7</f>
        <v>2.4300000000000033</v>
      </c>
      <c r="M18" s="129"/>
      <c r="N18" s="281" t="s">
        <v>55</v>
      </c>
      <c r="O18" s="259"/>
      <c r="P18" s="260"/>
    </row>
    <row r="19" spans="1:16" ht="12" customHeight="1" thickBot="1">
      <c r="A19" s="129"/>
      <c r="B19" s="73"/>
      <c r="C19" s="29"/>
      <c r="D19" s="29"/>
      <c r="E19" s="226"/>
      <c r="F19" s="189"/>
      <c r="G19" s="101">
        <f>(E19*F19)</f>
        <v>0</v>
      </c>
      <c r="H19" s="189">
        <v>1.08</v>
      </c>
      <c r="I19" s="89">
        <f>(G19*H19)</f>
        <v>0</v>
      </c>
      <c r="J19" s="89"/>
      <c r="K19" s="91" t="s">
        <v>118</v>
      </c>
      <c r="L19" s="92">
        <f>(L21-J21)*$K$7</f>
        <v>2.685789473684217</v>
      </c>
      <c r="M19" s="129"/>
      <c r="N19" s="282"/>
      <c r="O19" s="261"/>
      <c r="P19" s="262"/>
    </row>
    <row r="20" spans="1:16" ht="12" customHeight="1">
      <c r="A20" s="129"/>
      <c r="B20" s="74"/>
      <c r="C20" s="30"/>
      <c r="D20" s="30"/>
      <c r="E20" s="226"/>
      <c r="F20" s="190"/>
      <c r="G20" s="101">
        <f>(E20*F20)</f>
        <v>0</v>
      </c>
      <c r="H20" s="191">
        <v>1.08</v>
      </c>
      <c r="I20" s="89">
        <f>(G20*H20)</f>
        <v>0</v>
      </c>
      <c r="J20" s="90"/>
      <c r="K20" s="93" t="s">
        <v>117</v>
      </c>
      <c r="L20" s="95">
        <f>IF(L12&lt;&gt;0,L21/L12,"?")</f>
        <v>0.29430763019781997</v>
      </c>
      <c r="M20" s="129"/>
      <c r="N20" s="282"/>
      <c r="O20" s="261"/>
      <c r="P20" s="262"/>
    </row>
    <row r="21" spans="1:16" ht="13.5" customHeight="1" thickBot="1">
      <c r="A21" s="130"/>
      <c r="B21" s="140" t="s">
        <v>88</v>
      </c>
      <c r="C21" s="141"/>
      <c r="D21" s="141"/>
      <c r="E21" s="141"/>
      <c r="F21" s="141"/>
      <c r="G21" s="160">
        <f>SUM(G17:G20)</f>
        <v>2.43</v>
      </c>
      <c r="H21" s="160">
        <f>IF(G21&lt;&gt;0,I21/G21,0)</f>
        <v>1.05</v>
      </c>
      <c r="I21" s="141">
        <f>SUM(I17:I20)</f>
        <v>2.5515000000000003</v>
      </c>
      <c r="J21" s="142">
        <f>SUM(I17:I20)</f>
        <v>2.5515000000000003</v>
      </c>
      <c r="K21" s="193">
        <v>0.05</v>
      </c>
      <c r="L21" s="143">
        <f>J21/(1-K21)</f>
        <v>2.685789473684211</v>
      </c>
      <c r="M21" s="130"/>
      <c r="N21" s="282"/>
      <c r="O21" s="261"/>
      <c r="P21" s="262"/>
    </row>
    <row r="22" spans="1:16" ht="5.25" customHeight="1" thickBot="1">
      <c r="A22" s="129"/>
      <c r="B22" s="147"/>
      <c r="C22" s="56"/>
      <c r="D22" s="56"/>
      <c r="E22" s="148"/>
      <c r="F22" s="56"/>
      <c r="G22" s="149"/>
      <c r="H22" s="149"/>
      <c r="I22" s="105"/>
      <c r="J22" s="56"/>
      <c r="K22" s="150"/>
      <c r="L22" s="151"/>
      <c r="M22" s="129"/>
      <c r="N22" s="282"/>
      <c r="O22" s="261"/>
      <c r="P22" s="262"/>
    </row>
    <row r="23" spans="1:16" ht="24.75" customHeight="1" thickBot="1">
      <c r="A23" s="129"/>
      <c r="B23" s="24" t="s">
        <v>84</v>
      </c>
      <c r="C23" s="210" t="s">
        <v>34</v>
      </c>
      <c r="D23" s="210" t="s">
        <v>35</v>
      </c>
      <c r="E23" s="211" t="s">
        <v>86</v>
      </c>
      <c r="F23" s="210" t="s">
        <v>76</v>
      </c>
      <c r="G23" s="31" t="s">
        <v>78</v>
      </c>
      <c r="H23" s="162" t="s">
        <v>106</v>
      </c>
      <c r="I23" s="32" t="s">
        <v>103</v>
      </c>
      <c r="J23" s="211" t="s">
        <v>93</v>
      </c>
      <c r="K23" s="161"/>
      <c r="L23" s="163" t="s">
        <v>81</v>
      </c>
      <c r="M23" s="129"/>
      <c r="N23" s="283"/>
      <c r="O23" s="263"/>
      <c r="P23" s="264"/>
    </row>
    <row r="24" spans="1:16" ht="12" customHeight="1">
      <c r="A24" s="129"/>
      <c r="B24" s="73"/>
      <c r="C24" s="29"/>
      <c r="D24" s="29"/>
      <c r="E24" s="226"/>
      <c r="F24" s="189"/>
      <c r="G24" s="101">
        <f>(E24*F24)</f>
        <v>0</v>
      </c>
      <c r="H24" s="189">
        <v>1.08</v>
      </c>
      <c r="I24" s="89">
        <f>(G24*H24)</f>
        <v>0</v>
      </c>
      <c r="J24" s="89"/>
      <c r="K24" s="91"/>
      <c r="L24" s="92"/>
      <c r="M24" s="129"/>
      <c r="N24" s="38"/>
      <c r="O24" s="38"/>
      <c r="P24" s="38"/>
    </row>
    <row r="25" spans="1:16" ht="12" customHeight="1">
      <c r="A25" s="129"/>
      <c r="B25" s="73"/>
      <c r="C25" s="29"/>
      <c r="D25" s="29"/>
      <c r="E25" s="226"/>
      <c r="F25" s="189"/>
      <c r="G25" s="101">
        <f>(E25*F25)</f>
        <v>0</v>
      </c>
      <c r="H25" s="189">
        <v>1.08</v>
      </c>
      <c r="I25" s="89">
        <f>(G25*H25)</f>
        <v>0</v>
      </c>
      <c r="J25" s="89"/>
      <c r="K25" s="91" t="s">
        <v>107</v>
      </c>
      <c r="L25" s="92">
        <f>(J28-G28)*$K$7</f>
        <v>0</v>
      </c>
      <c r="M25" s="129"/>
      <c r="N25" s="38"/>
      <c r="O25" s="38"/>
      <c r="P25" s="38"/>
    </row>
    <row r="26" spans="1:16" ht="12" customHeight="1" thickBot="1">
      <c r="A26" s="129"/>
      <c r="B26" s="73"/>
      <c r="C26" s="29"/>
      <c r="D26" s="29"/>
      <c r="E26" s="226"/>
      <c r="F26" s="189"/>
      <c r="G26" s="101">
        <f>(E26*F26)</f>
        <v>0</v>
      </c>
      <c r="H26" s="189">
        <v>1.08</v>
      </c>
      <c r="I26" s="89">
        <f>(G26*H26)</f>
        <v>0</v>
      </c>
      <c r="J26" s="89"/>
      <c r="K26" s="91" t="s">
        <v>118</v>
      </c>
      <c r="L26" s="92">
        <f>(L28-J28)*$K$7</f>
        <v>0</v>
      </c>
      <c r="M26" s="129"/>
      <c r="N26" s="38"/>
      <c r="O26" s="38"/>
      <c r="P26" s="38"/>
    </row>
    <row r="27" spans="1:16" ht="12" customHeight="1">
      <c r="A27" s="129"/>
      <c r="B27" s="73"/>
      <c r="C27" s="29"/>
      <c r="D27" s="29"/>
      <c r="E27" s="226"/>
      <c r="F27" s="189"/>
      <c r="G27" s="101">
        <f>(E27*F27)</f>
        <v>0</v>
      </c>
      <c r="H27" s="189">
        <v>1.08</v>
      </c>
      <c r="I27" s="89">
        <f>(G27*H27)</f>
        <v>0</v>
      </c>
      <c r="J27" s="90"/>
      <c r="K27" s="93" t="s">
        <v>117</v>
      </c>
      <c r="L27" s="99">
        <f>IF(L12&lt;&gt;0,L28/L12,"?")</f>
        <v>0</v>
      </c>
      <c r="M27" s="129"/>
      <c r="N27" s="38"/>
      <c r="O27" s="38"/>
      <c r="P27" s="38"/>
    </row>
    <row r="28" spans="1:13" ht="13.5" customHeight="1" thickBot="1">
      <c r="A28" s="130"/>
      <c r="B28" s="140" t="s">
        <v>120</v>
      </c>
      <c r="C28" s="141"/>
      <c r="D28" s="141"/>
      <c r="E28" s="141"/>
      <c r="F28" s="141"/>
      <c r="G28" s="160">
        <f>SUM(G24:G27)</f>
        <v>0</v>
      </c>
      <c r="H28" s="160">
        <f>IF(G28&lt;&gt;0,I28/G28,0)</f>
        <v>0</v>
      </c>
      <c r="I28" s="141">
        <f>SUM(I24:I27)</f>
        <v>0</v>
      </c>
      <c r="J28" s="142">
        <f>SUM(I24:I27)</f>
        <v>0</v>
      </c>
      <c r="K28" s="193">
        <v>0.08</v>
      </c>
      <c r="L28" s="143">
        <f>J28/(1-K28)</f>
        <v>0</v>
      </c>
      <c r="M28" s="130"/>
    </row>
    <row r="29" spans="1:13" ht="5.25" customHeight="1" thickBot="1">
      <c r="A29" s="129"/>
      <c r="B29" s="17"/>
      <c r="C29" s="56"/>
      <c r="D29" s="56"/>
      <c r="E29" s="148"/>
      <c r="F29" s="56"/>
      <c r="G29" s="149"/>
      <c r="H29" s="152"/>
      <c r="I29" s="58"/>
      <c r="J29" s="56"/>
      <c r="K29" s="150"/>
      <c r="L29" s="153"/>
      <c r="M29" s="129"/>
    </row>
    <row r="30" spans="1:13" ht="24.75" customHeight="1">
      <c r="A30" s="129"/>
      <c r="B30" s="24" t="s">
        <v>83</v>
      </c>
      <c r="C30" s="210" t="s">
        <v>77</v>
      </c>
      <c r="D30" s="210" t="s">
        <v>26</v>
      </c>
      <c r="E30" s="211" t="s">
        <v>121</v>
      </c>
      <c r="F30" s="210" t="s">
        <v>25</v>
      </c>
      <c r="G30" s="212" t="s">
        <v>78</v>
      </c>
      <c r="H30" s="217" t="s">
        <v>106</v>
      </c>
      <c r="I30" s="210" t="s">
        <v>76</v>
      </c>
      <c r="J30" s="211" t="s">
        <v>93</v>
      </c>
      <c r="K30" s="34" t="s">
        <v>102</v>
      </c>
      <c r="L30" s="35" t="s">
        <v>81</v>
      </c>
      <c r="M30" s="129"/>
    </row>
    <row r="31" spans="1:13" ht="12" customHeight="1">
      <c r="A31" s="129"/>
      <c r="B31" s="73" t="s">
        <v>136</v>
      </c>
      <c r="C31" s="226">
        <v>1</v>
      </c>
      <c r="D31" s="189">
        <v>1.5</v>
      </c>
      <c r="E31" s="96">
        <f aca="true" t="shared" si="0" ref="E31:E44">C31*D31</f>
        <v>1.5</v>
      </c>
      <c r="F31" s="189">
        <v>28</v>
      </c>
      <c r="G31" s="101">
        <f aca="true" t="shared" si="1" ref="G31:G44">E31/60*F31</f>
        <v>0.7000000000000001</v>
      </c>
      <c r="H31" s="189">
        <v>1</v>
      </c>
      <c r="I31" s="89">
        <f aca="true" t="shared" si="2" ref="I31:I44">(G31*H31)</f>
        <v>0.7000000000000001</v>
      </c>
      <c r="J31" s="89"/>
      <c r="K31" s="97"/>
      <c r="L31" s="98"/>
      <c r="M31" s="129"/>
    </row>
    <row r="32" spans="1:13" ht="12" customHeight="1">
      <c r="A32" s="129"/>
      <c r="B32" s="73" t="s">
        <v>6</v>
      </c>
      <c r="C32" s="226">
        <v>1</v>
      </c>
      <c r="D32" s="189">
        <f>10/K7</f>
        <v>0.5</v>
      </c>
      <c r="E32" s="96">
        <f t="shared" si="0"/>
        <v>0.5</v>
      </c>
      <c r="F32" s="189">
        <v>28</v>
      </c>
      <c r="G32" s="101">
        <f>E32/60*F32</f>
        <v>0.23333333333333334</v>
      </c>
      <c r="H32" s="189">
        <v>1</v>
      </c>
      <c r="I32" s="89">
        <f t="shared" si="2"/>
        <v>0.23333333333333334</v>
      </c>
      <c r="J32" s="89"/>
      <c r="K32" s="97"/>
      <c r="L32" s="98"/>
      <c r="M32" s="129"/>
    </row>
    <row r="33" spans="1:13" ht="12" customHeight="1">
      <c r="A33" s="129"/>
      <c r="B33" s="73"/>
      <c r="C33" s="226"/>
      <c r="D33" s="189"/>
      <c r="E33" s="96">
        <f t="shared" si="0"/>
        <v>0</v>
      </c>
      <c r="F33" s="189"/>
      <c r="G33" s="101">
        <f t="shared" si="1"/>
        <v>0</v>
      </c>
      <c r="H33" s="189">
        <v>1</v>
      </c>
      <c r="I33" s="89">
        <f t="shared" si="2"/>
        <v>0</v>
      </c>
      <c r="J33" s="89"/>
      <c r="K33" s="97"/>
      <c r="L33" s="98"/>
      <c r="M33" s="129"/>
    </row>
    <row r="34" spans="1:13" ht="12" customHeight="1">
      <c r="A34" s="129"/>
      <c r="B34" s="73" t="s">
        <v>137</v>
      </c>
      <c r="C34" s="226">
        <v>4</v>
      </c>
      <c r="D34" s="189">
        <v>1</v>
      </c>
      <c r="E34" s="96">
        <f t="shared" si="0"/>
        <v>4</v>
      </c>
      <c r="F34" s="189">
        <v>28</v>
      </c>
      <c r="G34" s="101">
        <f t="shared" si="1"/>
        <v>1.8666666666666667</v>
      </c>
      <c r="H34" s="189">
        <v>1</v>
      </c>
      <c r="I34" s="89">
        <f t="shared" si="2"/>
        <v>1.8666666666666667</v>
      </c>
      <c r="J34" s="89"/>
      <c r="K34" s="97"/>
      <c r="L34" s="98"/>
      <c r="M34" s="129"/>
    </row>
    <row r="35" spans="1:13" ht="12" customHeight="1">
      <c r="A35" s="129"/>
      <c r="B35" s="227" t="s">
        <v>6</v>
      </c>
      <c r="C35" s="226">
        <v>1</v>
      </c>
      <c r="D35" s="189">
        <f>10/K7</f>
        <v>0.5</v>
      </c>
      <c r="E35" s="96">
        <f t="shared" si="0"/>
        <v>0.5</v>
      </c>
      <c r="F35" s="189">
        <v>28</v>
      </c>
      <c r="G35" s="101">
        <f t="shared" si="1"/>
        <v>0.23333333333333334</v>
      </c>
      <c r="H35" s="189">
        <v>1</v>
      </c>
      <c r="I35" s="89">
        <f t="shared" si="2"/>
        <v>0.23333333333333334</v>
      </c>
      <c r="J35" s="89"/>
      <c r="K35" s="97"/>
      <c r="L35" s="98"/>
      <c r="M35" s="129"/>
    </row>
    <row r="36" spans="1:13" ht="12" customHeight="1">
      <c r="A36" s="129"/>
      <c r="B36" s="73" t="s">
        <v>138</v>
      </c>
      <c r="C36" s="226">
        <v>4</v>
      </c>
      <c r="D36" s="189">
        <v>0.1</v>
      </c>
      <c r="E36" s="96">
        <f t="shared" si="0"/>
        <v>0.4</v>
      </c>
      <c r="F36" s="189">
        <v>28</v>
      </c>
      <c r="G36" s="101">
        <f t="shared" si="1"/>
        <v>0.18666666666666668</v>
      </c>
      <c r="H36" s="189">
        <v>1</v>
      </c>
      <c r="I36" s="89">
        <f t="shared" si="2"/>
        <v>0.18666666666666668</v>
      </c>
      <c r="J36" s="89"/>
      <c r="K36" s="97"/>
      <c r="L36" s="98"/>
      <c r="M36" s="129"/>
    </row>
    <row r="37" spans="1:13" ht="12" customHeight="1">
      <c r="A37" s="129"/>
      <c r="B37" s="73"/>
      <c r="C37" s="226"/>
      <c r="D37" s="189"/>
      <c r="E37" s="96">
        <f t="shared" si="0"/>
        <v>0</v>
      </c>
      <c r="F37" s="189"/>
      <c r="G37" s="101">
        <f t="shared" si="1"/>
        <v>0</v>
      </c>
      <c r="H37" s="189">
        <v>1</v>
      </c>
      <c r="I37" s="89">
        <f t="shared" si="2"/>
        <v>0</v>
      </c>
      <c r="J37" s="89"/>
      <c r="K37" s="97"/>
      <c r="L37" s="98"/>
      <c r="M37" s="129"/>
    </row>
    <row r="38" spans="1:13" ht="12" customHeight="1">
      <c r="A38" s="129"/>
      <c r="B38" s="73"/>
      <c r="C38" s="226"/>
      <c r="D38" s="189"/>
      <c r="E38" s="96">
        <f t="shared" si="0"/>
        <v>0</v>
      </c>
      <c r="F38" s="189"/>
      <c r="G38" s="101">
        <f t="shared" si="1"/>
        <v>0</v>
      </c>
      <c r="H38" s="189">
        <v>1</v>
      </c>
      <c r="I38" s="89">
        <f t="shared" si="2"/>
        <v>0</v>
      </c>
      <c r="J38" s="89"/>
      <c r="K38" s="97"/>
      <c r="L38" s="98"/>
      <c r="M38" s="129"/>
    </row>
    <row r="39" spans="1:13" ht="12" customHeight="1">
      <c r="A39" s="129"/>
      <c r="B39" s="73"/>
      <c r="C39" s="226"/>
      <c r="D39" s="189"/>
      <c r="E39" s="96">
        <f t="shared" si="0"/>
        <v>0</v>
      </c>
      <c r="F39" s="189"/>
      <c r="G39" s="101">
        <f t="shared" si="1"/>
        <v>0</v>
      </c>
      <c r="H39" s="189">
        <v>1</v>
      </c>
      <c r="I39" s="89">
        <f t="shared" si="2"/>
        <v>0</v>
      </c>
      <c r="J39" s="89"/>
      <c r="K39" s="97"/>
      <c r="L39" s="98"/>
      <c r="M39" s="129"/>
    </row>
    <row r="40" spans="1:13" ht="12" customHeight="1">
      <c r="A40" s="129"/>
      <c r="B40" s="73"/>
      <c r="C40" s="226"/>
      <c r="D40" s="189"/>
      <c r="E40" s="96">
        <f t="shared" si="0"/>
        <v>0</v>
      </c>
      <c r="F40" s="189"/>
      <c r="G40" s="101">
        <f t="shared" si="1"/>
        <v>0</v>
      </c>
      <c r="H40" s="189">
        <v>1</v>
      </c>
      <c r="I40" s="89">
        <f t="shared" si="2"/>
        <v>0</v>
      </c>
      <c r="J40" s="89"/>
      <c r="K40" s="97"/>
      <c r="L40" s="98"/>
      <c r="M40" s="129"/>
    </row>
    <row r="41" spans="1:13" ht="12" customHeight="1">
      <c r="A41" s="129"/>
      <c r="B41" s="73"/>
      <c r="C41" s="226"/>
      <c r="D41" s="189"/>
      <c r="E41" s="96">
        <f t="shared" si="0"/>
        <v>0</v>
      </c>
      <c r="F41" s="189"/>
      <c r="G41" s="101">
        <f t="shared" si="1"/>
        <v>0</v>
      </c>
      <c r="H41" s="189">
        <v>1</v>
      </c>
      <c r="I41" s="89">
        <f t="shared" si="2"/>
        <v>0</v>
      </c>
      <c r="J41" s="89"/>
      <c r="K41" s="97"/>
      <c r="L41" s="98"/>
      <c r="M41" s="129"/>
    </row>
    <row r="42" spans="1:13" ht="12" customHeight="1">
      <c r="A42" s="129"/>
      <c r="B42" s="73"/>
      <c r="C42" s="226"/>
      <c r="D42" s="189"/>
      <c r="E42" s="96">
        <f t="shared" si="0"/>
        <v>0</v>
      </c>
      <c r="F42" s="189"/>
      <c r="G42" s="101">
        <f t="shared" si="1"/>
        <v>0</v>
      </c>
      <c r="H42" s="189">
        <v>1</v>
      </c>
      <c r="I42" s="89">
        <f t="shared" si="2"/>
        <v>0</v>
      </c>
      <c r="J42" s="89"/>
      <c r="K42" s="91" t="s">
        <v>107</v>
      </c>
      <c r="L42" s="92">
        <f>(J45-G45)*$K$7</f>
        <v>0</v>
      </c>
      <c r="M42" s="129"/>
    </row>
    <row r="43" spans="1:13" ht="12" customHeight="1" thickBot="1">
      <c r="A43" s="129"/>
      <c r="B43" s="73"/>
      <c r="C43" s="226"/>
      <c r="D43" s="189"/>
      <c r="E43" s="96">
        <f t="shared" si="0"/>
        <v>0</v>
      </c>
      <c r="F43" s="189"/>
      <c r="G43" s="101">
        <f t="shared" si="1"/>
        <v>0</v>
      </c>
      <c r="H43" s="189">
        <v>1</v>
      </c>
      <c r="I43" s="89">
        <f t="shared" si="2"/>
        <v>0</v>
      </c>
      <c r="J43" s="89"/>
      <c r="K43" s="91" t="s">
        <v>118</v>
      </c>
      <c r="L43" s="92">
        <f>(L45-J45)*$K$7</f>
        <v>64.39999999999999</v>
      </c>
      <c r="M43" s="129"/>
    </row>
    <row r="44" spans="1:13" ht="12" customHeight="1">
      <c r="A44" s="129"/>
      <c r="B44" s="73"/>
      <c r="C44" s="226"/>
      <c r="D44" s="189"/>
      <c r="E44" s="96">
        <f t="shared" si="0"/>
        <v>0</v>
      </c>
      <c r="F44" s="189"/>
      <c r="G44" s="101">
        <f t="shared" si="1"/>
        <v>0</v>
      </c>
      <c r="H44" s="189">
        <v>1</v>
      </c>
      <c r="I44" s="89">
        <f t="shared" si="2"/>
        <v>0</v>
      </c>
      <c r="J44" s="90"/>
      <c r="K44" s="93" t="s">
        <v>117</v>
      </c>
      <c r="L44" s="99">
        <f>IF(L12&lt;&gt;0,L45/L12,"?")</f>
        <v>0.70569236980218</v>
      </c>
      <c r="M44" s="129"/>
    </row>
    <row r="45" spans="1:13" ht="13.5" customHeight="1" thickBot="1">
      <c r="A45" s="130"/>
      <c r="B45" s="144" t="s">
        <v>133</v>
      </c>
      <c r="C45" s="141"/>
      <c r="D45" s="141"/>
      <c r="E45" s="159">
        <f>SUM(E31:E44)</f>
        <v>6.9</v>
      </c>
      <c r="F45" s="160">
        <f>IF(E45&lt;&gt;0,(G45/E45)*60,0)</f>
        <v>27.999999999999996</v>
      </c>
      <c r="G45" s="141">
        <f>SUM(G31:G44)</f>
        <v>3.2199999999999998</v>
      </c>
      <c r="H45" s="160">
        <f>IF(G45&lt;&gt;0,I45/G45,0)</f>
        <v>1</v>
      </c>
      <c r="I45" s="141">
        <f>SUM(I31:I44)</f>
        <v>3.2199999999999998</v>
      </c>
      <c r="J45" s="142">
        <f>SUM(I31:I44)</f>
        <v>3.2199999999999998</v>
      </c>
      <c r="K45" s="193">
        <v>0.5</v>
      </c>
      <c r="L45" s="143">
        <f>J45/(1-K45)</f>
        <v>6.4399999999999995</v>
      </c>
      <c r="M45" s="130"/>
    </row>
    <row r="46" spans="1:13" ht="5.25" customHeight="1" thickBot="1">
      <c r="A46" s="129"/>
      <c r="B46" s="154"/>
      <c r="C46" s="56"/>
      <c r="D46" s="155"/>
      <c r="E46" s="56"/>
      <c r="F46" s="156"/>
      <c r="G46" s="156"/>
      <c r="H46" s="58"/>
      <c r="I46" s="149"/>
      <c r="J46" s="56"/>
      <c r="K46" s="157"/>
      <c r="L46" s="153"/>
      <c r="M46" s="129"/>
    </row>
    <row r="47" spans="1:14" ht="23.25" customHeight="1" hidden="1">
      <c r="A47" s="131" t="s">
        <v>48</v>
      </c>
      <c r="B47" s="20" t="s">
        <v>38</v>
      </c>
      <c r="C47" s="32" t="s">
        <v>27</v>
      </c>
      <c r="D47" s="46" t="s">
        <v>43</v>
      </c>
      <c r="E47" s="46" t="s">
        <v>44</v>
      </c>
      <c r="F47" s="39" t="s">
        <v>24</v>
      </c>
      <c r="G47" s="31" t="s">
        <v>36</v>
      </c>
      <c r="H47" s="32" t="s">
        <v>53</v>
      </c>
      <c r="I47" s="39" t="s">
        <v>28</v>
      </c>
      <c r="J47" s="32" t="s">
        <v>52</v>
      </c>
      <c r="K47" s="40" t="s">
        <v>29</v>
      </c>
      <c r="L47" s="41" t="s">
        <v>51</v>
      </c>
      <c r="M47" s="131" t="s">
        <v>48</v>
      </c>
      <c r="N47" s="87"/>
    </row>
    <row r="48" spans="1:14" ht="10.5" customHeight="1" hidden="1" thickBot="1">
      <c r="A48" s="131"/>
      <c r="B48" s="73"/>
      <c r="C48" s="45"/>
      <c r="D48" s="47">
        <f>$I$7/$L$7</f>
        <v>2</v>
      </c>
      <c r="E48" s="47">
        <f>C48*D48</f>
        <v>0</v>
      </c>
      <c r="F48" s="36">
        <f>E48/$I$7</f>
        <v>0</v>
      </c>
      <c r="G48" s="36">
        <f>F48</f>
        <v>0</v>
      </c>
      <c r="H48" s="29">
        <v>1</v>
      </c>
      <c r="I48" s="25">
        <f>(G48*H48)</f>
        <v>0</v>
      </c>
      <c r="J48" s="25"/>
      <c r="K48" s="37"/>
      <c r="L48" s="60"/>
      <c r="M48" s="131"/>
      <c r="N48" s="87"/>
    </row>
    <row r="49" spans="1:14" ht="10.5" customHeight="1" hidden="1" thickBot="1">
      <c r="A49" s="131"/>
      <c r="B49" s="73"/>
      <c r="C49" s="45"/>
      <c r="D49" s="47">
        <f>$I$7/$L$7</f>
        <v>2</v>
      </c>
      <c r="E49" s="47">
        <f>C49*D49</f>
        <v>0</v>
      </c>
      <c r="F49" s="36">
        <f>E49/$I$7</f>
        <v>0</v>
      </c>
      <c r="G49" s="36">
        <f>F49</f>
        <v>0</v>
      </c>
      <c r="H49" s="29">
        <v>1</v>
      </c>
      <c r="I49" s="25">
        <f>(G49*H49)</f>
        <v>0</v>
      </c>
      <c r="J49" s="25"/>
      <c r="K49" s="37"/>
      <c r="L49" s="60"/>
      <c r="M49" s="131"/>
      <c r="N49" s="87"/>
    </row>
    <row r="50" spans="1:14" ht="10.5" customHeight="1" hidden="1">
      <c r="A50" s="131"/>
      <c r="B50" s="73" t="s">
        <v>41</v>
      </c>
      <c r="C50" s="45">
        <v>0</v>
      </c>
      <c r="D50" s="47">
        <f>$I$7/$L$7</f>
        <v>2</v>
      </c>
      <c r="E50" s="49">
        <f>C50*D50</f>
        <v>0</v>
      </c>
      <c r="F50" s="36">
        <f>E50/$I$7</f>
        <v>0</v>
      </c>
      <c r="G50" s="36">
        <f>F50</f>
        <v>0</v>
      </c>
      <c r="H50" s="29">
        <v>1</v>
      </c>
      <c r="I50" s="25">
        <f>(G50*H50)</f>
        <v>0</v>
      </c>
      <c r="J50" s="25"/>
      <c r="K50" s="37" t="s">
        <v>37</v>
      </c>
      <c r="L50" s="60">
        <f>(J53-G53)*$K$7</f>
        <v>0</v>
      </c>
      <c r="M50" s="131"/>
      <c r="N50" s="87"/>
    </row>
    <row r="51" spans="1:14" ht="10.5" customHeight="1" hidden="1">
      <c r="A51" s="131"/>
      <c r="B51" s="73" t="s">
        <v>42</v>
      </c>
      <c r="C51" s="45">
        <v>0</v>
      </c>
      <c r="D51" s="47">
        <f>$I$7/$L$7</f>
        <v>2</v>
      </c>
      <c r="E51" s="47">
        <f>C51*D51</f>
        <v>0</v>
      </c>
      <c r="F51" s="36">
        <f>E51/$I$7</f>
        <v>0</v>
      </c>
      <c r="G51" s="36">
        <f>F51</f>
        <v>0</v>
      </c>
      <c r="H51" s="29">
        <v>1</v>
      </c>
      <c r="I51" s="25">
        <f>(G51*H51)</f>
        <v>0</v>
      </c>
      <c r="J51" s="25"/>
      <c r="K51" s="37" t="s">
        <v>46</v>
      </c>
      <c r="L51" s="60">
        <f>(L53-J53)*$K$7</f>
        <v>0</v>
      </c>
      <c r="M51" s="131"/>
      <c r="N51" s="87"/>
    </row>
    <row r="52" spans="1:14" ht="10.5" customHeight="1" hidden="1">
      <c r="A52" s="131"/>
      <c r="B52" s="73" t="s">
        <v>45</v>
      </c>
      <c r="C52" s="45">
        <v>0</v>
      </c>
      <c r="D52" s="47">
        <f>$I$7/$L$7</f>
        <v>2</v>
      </c>
      <c r="E52" s="47">
        <f>C52*D52</f>
        <v>0</v>
      </c>
      <c r="F52" s="36">
        <f>E52/$I$7</f>
        <v>0</v>
      </c>
      <c r="G52" s="36">
        <f>F52</f>
        <v>0</v>
      </c>
      <c r="H52" s="29">
        <v>1</v>
      </c>
      <c r="I52" s="25">
        <f>(G52*H52)</f>
        <v>0</v>
      </c>
      <c r="J52" s="42"/>
      <c r="K52" s="43" t="s">
        <v>29</v>
      </c>
      <c r="L52" s="61">
        <f>IF(L12&lt;&gt;0,L53/L12,"?")</f>
        <v>0</v>
      </c>
      <c r="M52" s="131"/>
      <c r="N52" s="87"/>
    </row>
    <row r="53" spans="1:14" ht="10.5" customHeight="1" hidden="1">
      <c r="A53" s="132" t="s">
        <v>49</v>
      </c>
      <c r="B53" s="76" t="s">
        <v>47</v>
      </c>
      <c r="C53" s="84"/>
      <c r="D53" s="84"/>
      <c r="E53" s="86"/>
      <c r="F53" s="84"/>
      <c r="G53" s="84">
        <f>SUM(G48:G52)</f>
        <v>0</v>
      </c>
      <c r="H53" s="84" t="str">
        <f>IF(G53&lt;&gt;0,I53/G53,"?")</f>
        <v>?</v>
      </c>
      <c r="I53" s="84">
        <f>SUM(I48:I52)</f>
        <v>0</v>
      </c>
      <c r="J53" s="85">
        <f>SUM(I50:I52)</f>
        <v>0</v>
      </c>
      <c r="K53" s="44">
        <v>0.25</v>
      </c>
      <c r="L53" s="62">
        <f>J53/(1-K53)</f>
        <v>0</v>
      </c>
      <c r="M53" s="132" t="s">
        <v>49</v>
      </c>
      <c r="N53" s="87"/>
    </row>
    <row r="54" spans="1:14" ht="5.25" customHeight="1" hidden="1" thickBot="1">
      <c r="A54" s="131"/>
      <c r="B54" s="63"/>
      <c r="C54" s="64"/>
      <c r="D54" s="65"/>
      <c r="E54" s="66"/>
      <c r="F54" s="67"/>
      <c r="G54" s="67"/>
      <c r="H54" s="68"/>
      <c r="I54" s="16"/>
      <c r="J54" s="64"/>
      <c r="K54" s="69"/>
      <c r="L54" s="70"/>
      <c r="M54" s="131"/>
      <c r="N54" s="87"/>
    </row>
    <row r="55" spans="1:13" ht="24.75" customHeight="1">
      <c r="A55" s="129"/>
      <c r="B55" s="20" t="s">
        <v>129</v>
      </c>
      <c r="C55" s="210" t="s">
        <v>27</v>
      </c>
      <c r="D55" s="5"/>
      <c r="E55" s="214" t="s">
        <v>105</v>
      </c>
      <c r="F55" s="209" t="s">
        <v>76</v>
      </c>
      <c r="G55" s="212" t="s">
        <v>78</v>
      </c>
      <c r="H55" s="217" t="s">
        <v>106</v>
      </c>
      <c r="I55" s="209" t="s">
        <v>104</v>
      </c>
      <c r="J55" s="210" t="s">
        <v>93</v>
      </c>
      <c r="K55" s="34" t="s">
        <v>102</v>
      </c>
      <c r="L55" s="41" t="s">
        <v>81</v>
      </c>
      <c r="M55" s="129"/>
    </row>
    <row r="56" spans="1:13" ht="12" customHeight="1">
      <c r="A56" s="129"/>
      <c r="B56" s="73"/>
      <c r="C56" s="194"/>
      <c r="D56" s="89"/>
      <c r="E56" s="100">
        <f>$I$7</f>
        <v>40</v>
      </c>
      <c r="F56" s="101">
        <f>C56/E56</f>
        <v>0</v>
      </c>
      <c r="G56" s="101">
        <f>F56</f>
        <v>0</v>
      </c>
      <c r="H56" s="189">
        <v>1</v>
      </c>
      <c r="I56" s="89">
        <f>(G56*H56)</f>
        <v>0</v>
      </c>
      <c r="J56" s="89"/>
      <c r="K56" s="91"/>
      <c r="L56" s="92"/>
      <c r="M56" s="129"/>
    </row>
    <row r="57" spans="1:13" ht="12" customHeight="1">
      <c r="A57" s="129"/>
      <c r="B57" s="73" t="s">
        <v>126</v>
      </c>
      <c r="C57" s="194"/>
      <c r="D57" s="89"/>
      <c r="E57" s="100">
        <f>$I$7</f>
        <v>40</v>
      </c>
      <c r="F57" s="101">
        <f>C57/E57</f>
        <v>0</v>
      </c>
      <c r="G57" s="101">
        <f>F57</f>
        <v>0</v>
      </c>
      <c r="H57" s="189">
        <v>1</v>
      </c>
      <c r="I57" s="89">
        <f>(G57*H57)</f>
        <v>0</v>
      </c>
      <c r="J57" s="89"/>
      <c r="K57" s="91"/>
      <c r="L57" s="92"/>
      <c r="M57" s="129"/>
    </row>
    <row r="58" spans="1:13" ht="12" customHeight="1">
      <c r="A58" s="129"/>
      <c r="B58" s="73" t="s">
        <v>122</v>
      </c>
      <c r="C58" s="194"/>
      <c r="D58" s="89"/>
      <c r="E58" s="100">
        <f>$I$7</f>
        <v>40</v>
      </c>
      <c r="F58" s="101">
        <f>C58/E58</f>
        <v>0</v>
      </c>
      <c r="G58" s="101">
        <f>F58</f>
        <v>0</v>
      </c>
      <c r="H58" s="189">
        <v>1</v>
      </c>
      <c r="I58" s="89">
        <f>(G58*H58)</f>
        <v>0</v>
      </c>
      <c r="J58" s="89"/>
      <c r="K58" s="91" t="s">
        <v>107</v>
      </c>
      <c r="L58" s="92">
        <f>(J61-G61)*$K$7</f>
        <v>0</v>
      </c>
      <c r="M58" s="129"/>
    </row>
    <row r="59" spans="1:13" ht="12" customHeight="1" thickBot="1">
      <c r="A59" s="129"/>
      <c r="B59" s="73" t="s">
        <v>119</v>
      </c>
      <c r="C59" s="194"/>
      <c r="D59" s="89"/>
      <c r="E59" s="100">
        <f>$I$7</f>
        <v>40</v>
      </c>
      <c r="F59" s="101">
        <f>C59/E59</f>
        <v>0</v>
      </c>
      <c r="G59" s="101">
        <f>F59</f>
        <v>0</v>
      </c>
      <c r="H59" s="189">
        <v>1</v>
      </c>
      <c r="I59" s="89">
        <f>(G59*H59)</f>
        <v>0</v>
      </c>
      <c r="J59" s="89"/>
      <c r="K59" s="91" t="s">
        <v>118</v>
      </c>
      <c r="L59" s="92">
        <f>(L61-J61)*$K$7</f>
        <v>0</v>
      </c>
      <c r="M59" s="129"/>
    </row>
    <row r="60" spans="1:13" ht="12" customHeight="1">
      <c r="A60" s="129"/>
      <c r="B60" s="73" t="s">
        <v>128</v>
      </c>
      <c r="C60" s="194"/>
      <c r="D60" s="89"/>
      <c r="E60" s="100">
        <f>$I$7</f>
        <v>40</v>
      </c>
      <c r="F60" s="101">
        <f>C60/E60</f>
        <v>0</v>
      </c>
      <c r="G60" s="101">
        <f>F60</f>
        <v>0</v>
      </c>
      <c r="H60" s="189">
        <v>1</v>
      </c>
      <c r="I60" s="89">
        <f>(G60*H60)</f>
        <v>0</v>
      </c>
      <c r="J60" s="90"/>
      <c r="K60" s="93" t="s">
        <v>117</v>
      </c>
      <c r="L60" s="99">
        <f>IF(L12&lt;&gt;0,L61/L12,"?")</f>
        <v>0</v>
      </c>
      <c r="M60" s="129"/>
    </row>
    <row r="61" spans="1:13" ht="13.5" customHeight="1" thickBot="1">
      <c r="A61" s="130"/>
      <c r="B61" s="114" t="s">
        <v>132</v>
      </c>
      <c r="C61" s="115"/>
      <c r="D61" s="115"/>
      <c r="E61" s="116"/>
      <c r="F61" s="115"/>
      <c r="G61" s="117">
        <f>SUM(G56:G60)</f>
        <v>0</v>
      </c>
      <c r="H61" s="117">
        <f>IF(G61&lt;&gt;0,I61/G61,0)</f>
        <v>0</v>
      </c>
      <c r="I61" s="115">
        <f>SUM(I56:I60)</f>
        <v>0</v>
      </c>
      <c r="J61" s="118">
        <f>SUM(I56:I60)</f>
        <v>0</v>
      </c>
      <c r="K61" s="192">
        <v>0.25</v>
      </c>
      <c r="L61" s="119">
        <f>J61/(1-K61)</f>
        <v>0</v>
      </c>
      <c r="M61" s="130"/>
    </row>
    <row r="62" spans="1:13" ht="5.25" customHeight="1" thickBot="1">
      <c r="A62" s="138"/>
      <c r="B62" s="133"/>
      <c r="C62" s="134"/>
      <c r="D62" s="134"/>
      <c r="E62" s="134"/>
      <c r="F62" s="134"/>
      <c r="G62" s="134"/>
      <c r="H62" s="134"/>
      <c r="I62" s="134"/>
      <c r="J62" s="135"/>
      <c r="K62" s="134"/>
      <c r="L62" s="136"/>
      <c r="M62" s="138"/>
    </row>
    <row r="63" spans="1:13" ht="12.75">
      <c r="A63" s="7"/>
      <c r="B63" s="13"/>
      <c r="C63" s="3"/>
      <c r="D63" s="3"/>
      <c r="E63" s="3"/>
      <c r="F63" s="50"/>
      <c r="G63" s="3"/>
      <c r="H63" s="3"/>
      <c r="I63" s="6"/>
      <c r="J63" s="3"/>
      <c r="M63" s="7"/>
    </row>
    <row r="64" spans="1:13" ht="12.75">
      <c r="A64" s="8"/>
      <c r="B64" s="26"/>
      <c r="C64" s="26"/>
      <c r="D64" s="26"/>
      <c r="E64" s="26"/>
      <c r="F64" s="26"/>
      <c r="G64" s="26"/>
      <c r="H64" s="4"/>
      <c r="I64" s="4"/>
      <c r="J64" s="6"/>
      <c r="K64" s="4"/>
      <c r="L64" s="53"/>
      <c r="M64" s="8"/>
    </row>
    <row r="65" spans="1:13" ht="12.75">
      <c r="A65" s="8"/>
      <c r="B65" s="7"/>
      <c r="C65" s="7"/>
      <c r="D65" s="7"/>
      <c r="E65" s="7"/>
      <c r="F65" s="7"/>
      <c r="G65" s="7"/>
      <c r="H65" s="4"/>
      <c r="I65" s="4"/>
      <c r="J65" s="6"/>
      <c r="K65" s="4"/>
      <c r="L65" s="54"/>
      <c r="M65" s="8"/>
    </row>
    <row r="66" spans="1:13" ht="13.5">
      <c r="A66" s="8"/>
      <c r="B66" s="7"/>
      <c r="C66" s="7"/>
      <c r="D66" s="7"/>
      <c r="E66" s="7"/>
      <c r="F66" s="7"/>
      <c r="G66" s="7"/>
      <c r="H66" s="4"/>
      <c r="I66" s="4"/>
      <c r="J66" s="6"/>
      <c r="K66" s="4"/>
      <c r="L66" s="53"/>
      <c r="M66" s="8"/>
    </row>
    <row r="67" spans="1:13" ht="13.5">
      <c r="A67" s="8"/>
      <c r="B67" s="7"/>
      <c r="C67" s="7"/>
      <c r="D67" s="7"/>
      <c r="E67" s="7"/>
      <c r="F67" s="7"/>
      <c r="G67" s="7"/>
      <c r="H67" s="8"/>
      <c r="I67" s="8"/>
      <c r="J67" s="8"/>
      <c r="K67" s="8"/>
      <c r="L67" s="8"/>
      <c r="M67" s="8"/>
    </row>
    <row r="68" spans="1:13" ht="13.5">
      <c r="A68" s="8"/>
      <c r="B68" s="7"/>
      <c r="C68" s="7"/>
      <c r="D68" s="7"/>
      <c r="E68" s="7"/>
      <c r="F68" s="7"/>
      <c r="G68" s="7"/>
      <c r="H68" s="8"/>
      <c r="I68" s="8"/>
      <c r="J68" s="8"/>
      <c r="K68" s="8"/>
      <c r="L68" s="8"/>
      <c r="M68" s="8"/>
    </row>
    <row r="69" spans="1:13" ht="13.5">
      <c r="A69" s="7"/>
      <c r="B69" s="8"/>
      <c r="C69" s="7"/>
      <c r="D69" s="7"/>
      <c r="E69" s="7"/>
      <c r="F69" s="7"/>
      <c r="G69" s="7"/>
      <c r="H69" s="7"/>
      <c r="I69" s="7"/>
      <c r="J69" s="7"/>
      <c r="K69" s="8"/>
      <c r="L69" s="7"/>
      <c r="M69" s="7"/>
    </row>
    <row r="70" spans="1:13" ht="13.5">
      <c r="A70" s="7"/>
      <c r="B70" s="8"/>
      <c r="C70" s="9"/>
      <c r="D70" s="8"/>
      <c r="E70" s="7"/>
      <c r="F70" s="7"/>
      <c r="G70" s="7"/>
      <c r="H70" s="7"/>
      <c r="I70" s="7"/>
      <c r="J70" s="7"/>
      <c r="K70" s="8"/>
      <c r="L70" s="7"/>
      <c r="M70" s="7"/>
    </row>
    <row r="71" spans="1:13" ht="13.5">
      <c r="A71" s="7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</row>
    <row r="72" spans="1:13" ht="13.5">
      <c r="A72" s="7"/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  <c r="M72" s="7"/>
    </row>
    <row r="73" spans="1:13" ht="13.5">
      <c r="A73" s="7"/>
      <c r="B73" s="7"/>
      <c r="C73" s="7"/>
      <c r="D73" s="7"/>
      <c r="E73" s="7"/>
      <c r="F73" s="7"/>
      <c r="G73" s="7"/>
      <c r="H73" s="8"/>
      <c r="I73" s="8"/>
      <c r="J73" s="7"/>
      <c r="K73" s="7"/>
      <c r="L73" s="7"/>
      <c r="M73" s="7"/>
    </row>
    <row r="74" spans="1:13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3.5">
      <c r="A75" s="7"/>
      <c r="B75" s="1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3.5">
      <c r="A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3.5">
      <c r="A80" s="7"/>
      <c r="B80" s="7"/>
      <c r="C80" s="26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3.5">
      <c r="A84" s="7"/>
      <c r="B84" s="11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3.5">
      <c r="A85" s="7"/>
      <c r="B85" s="7"/>
      <c r="C85" s="12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3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3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3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3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3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3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3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3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3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3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3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3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3.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3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3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3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3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3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3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3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3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3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3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3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3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3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3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3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3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3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3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3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3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3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3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3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</sheetData>
  <sheetProtection/>
  <mergeCells count="16">
    <mergeCell ref="G8:L9"/>
    <mergeCell ref="N18:P23"/>
    <mergeCell ref="B2:B3"/>
    <mergeCell ref="C2:E2"/>
    <mergeCell ref="F2:H2"/>
    <mergeCell ref="I2:J2"/>
    <mergeCell ref="K2:L2"/>
    <mergeCell ref="C3:E3"/>
    <mergeCell ref="F3:L3"/>
    <mergeCell ref="B4:B5"/>
    <mergeCell ref="B6:B7"/>
    <mergeCell ref="G6:H7"/>
    <mergeCell ref="C4:E4"/>
    <mergeCell ref="F4:L4"/>
    <mergeCell ref="C5:E5"/>
    <mergeCell ref="F5:L5"/>
  </mergeCells>
  <printOptions/>
  <pageMargins left="0.75" right="0.75" top="1" bottom="1" header="0.4921259845" footer="0.4921259845"/>
  <pageSetup fitToHeight="1" fitToWidth="1"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Tuotelaskelma</dc:title>
  <dc:subject/>
  <dc:creator/>
  <cp:keywords/>
  <dc:description>Ver. 1.2 2.12.2005 Perttu Kontu
Ver. 1.1 1.12.2005 Jukka Kettunen</dc:description>
  <cp:lastModifiedBy>Kari Kolehmainen</cp:lastModifiedBy>
  <cp:lastPrinted>2012-05-28T07:46:33Z</cp:lastPrinted>
  <dcterms:created xsi:type="dcterms:W3CDTF">2005-11-02T13:40:30Z</dcterms:created>
  <dcterms:modified xsi:type="dcterms:W3CDTF">2004-01-06T11:31:14Z</dcterms:modified>
  <cp:category/>
  <cp:version/>
  <cp:contentType/>
  <cp:contentStatus/>
</cp:coreProperties>
</file>